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tateofwa-my.sharepoint.com/personal/steve_johnson_crab_wa_gov/Documents/Documents/Worksheets 23-25/PS/"/>
    </mc:Choice>
  </mc:AlternateContent>
  <xr:revisionPtr revIDLastSave="35" documentId="11_B946128565521C8964D9BD01FE042F3CE059124E" xr6:coauthVersionLast="47" xr6:coauthVersionMax="47" xr10:uidLastSave="{C291D8E4-1139-4AED-82F0-B3D5B6FBB615}"/>
  <bookViews>
    <workbookView xWindow="28680" yWindow="-120" windowWidth="29040" windowHeight="15840" tabRatio="814" xr2:uid="{00000000-000D-0000-FFFF-FFFF00000000}"/>
  </bookViews>
  <sheets>
    <sheet name="2R SUMMARY" sheetId="7" r:id="rId1"/>
    <sheet name="TRAFFIC &amp; ACCIDENTS" sheetId="14" r:id="rId2"/>
    <sheet name="STRUCTURE" sheetId="15" r:id="rId3"/>
    <sheet name="GEOMETRY " sheetId="18" r:id="rId4"/>
    <sheet name="ROADSIDE SAFETY" sheetId="17" r:id="rId5"/>
    <sheet name="LOCAL SIGNIFICANCE" sheetId="19" r:id="rId6"/>
  </sheets>
  <definedNames>
    <definedName name="_xlnm.Print_Area" localSheetId="0">'2R SUMMARY'!$B$3:$M$61</definedName>
    <definedName name="_xlnm.Print_Area" localSheetId="3">'GEOMETRY '!$B$2:$O$11</definedName>
    <definedName name="_xlnm.Print_Area" localSheetId="5">'LOCAL SIGNIFICANCE'!$B$3:$P$34</definedName>
    <definedName name="_xlnm.Print_Area" localSheetId="4">'ROADSIDE SAFETY'!$B$3:$L$36</definedName>
    <definedName name="_xlnm.Print_Area" localSheetId="2">STRUCTURE!$B$2:$O$22,STRUCTURE!$Q$2:$AC$22</definedName>
    <definedName name="_xlnm.Print_Area" localSheetId="1">'TRAFFIC &amp; ACCIDENTS'!$B$4:$L$14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5" l="1"/>
  <c r="K26" i="7"/>
  <c r="N36" i="18" l="1"/>
  <c r="M36" i="18"/>
  <c r="H19" i="15"/>
  <c r="F25" i="14"/>
  <c r="E28" i="15"/>
  <c r="N38" i="18"/>
  <c r="M38" i="18" s="1"/>
  <c r="L38" i="18" s="1"/>
  <c r="N37" i="18"/>
  <c r="M37" i="18" s="1"/>
  <c r="F50" i="18"/>
  <c r="F49" i="18"/>
  <c r="E50" i="18"/>
  <c r="E49" i="18"/>
  <c r="D50" i="18"/>
  <c r="D49" i="18"/>
  <c r="C50" i="18"/>
  <c r="C49" i="18"/>
  <c r="F35" i="18"/>
  <c r="C24" i="18"/>
  <c r="C22" i="18"/>
  <c r="K57" i="14"/>
  <c r="K60" i="14" s="1"/>
  <c r="I57" i="14"/>
  <c r="I60" i="14" s="1"/>
  <c r="G57" i="14"/>
  <c r="G60" i="14" s="1"/>
  <c r="J25" i="14"/>
  <c r="J23" i="14"/>
  <c r="F23" i="14"/>
  <c r="J41" i="14" s="1"/>
  <c r="I38" i="18"/>
  <c r="I37" i="18"/>
  <c r="I36" i="18"/>
  <c r="R81" i="18"/>
  <c r="Q81" i="18"/>
  <c r="P81" i="18"/>
  <c r="O81" i="18"/>
  <c r="R80" i="18"/>
  <c r="Q80" i="18"/>
  <c r="P80" i="18"/>
  <c r="O80" i="18"/>
  <c r="R79" i="18"/>
  <c r="Q79" i="18"/>
  <c r="P79" i="18"/>
  <c r="O79" i="18"/>
  <c r="R78" i="18"/>
  <c r="Q78" i="18"/>
  <c r="P78" i="18"/>
  <c r="O78" i="18"/>
  <c r="R77" i="18"/>
  <c r="Q77" i="18"/>
  <c r="P77" i="18"/>
  <c r="O77" i="18"/>
  <c r="R76" i="18"/>
  <c r="Q76" i="18"/>
  <c r="P76" i="18"/>
  <c r="O76" i="18"/>
  <c r="R75" i="18"/>
  <c r="Q75" i="18"/>
  <c r="P75" i="18"/>
  <c r="O75" i="18"/>
  <c r="R74" i="18"/>
  <c r="Q74" i="18"/>
  <c r="P74" i="18"/>
  <c r="O74" i="18"/>
  <c r="K34" i="7"/>
  <c r="K35" i="7" s="1"/>
  <c r="P29" i="19"/>
  <c r="O29" i="19"/>
  <c r="P28" i="19"/>
  <c r="O28" i="19"/>
  <c r="P27" i="19"/>
  <c r="O27" i="19"/>
  <c r="P26" i="19"/>
  <c r="O26" i="19"/>
  <c r="P25" i="19"/>
  <c r="O25" i="19"/>
  <c r="O31" i="19" s="1"/>
  <c r="P17" i="19"/>
  <c r="O17" i="19"/>
  <c r="P16" i="19"/>
  <c r="O16" i="19"/>
  <c r="P15" i="19"/>
  <c r="O15" i="19"/>
  <c r="P14" i="19"/>
  <c r="O14" i="19"/>
  <c r="P13" i="19"/>
  <c r="O13" i="19" s="1"/>
  <c r="D12" i="14"/>
  <c r="D25" i="17" s="1"/>
  <c r="D30" i="17" s="1"/>
  <c r="F30" i="17" s="1"/>
  <c r="G30" i="17" s="1"/>
  <c r="T9" i="7"/>
  <c r="T8" i="7"/>
  <c r="T7" i="7" s="1"/>
  <c r="T5" i="7" s="1"/>
  <c r="T4" i="7" s="1"/>
  <c r="I31" i="17"/>
  <c r="I20" i="7"/>
  <c r="I56" i="7"/>
  <c r="K46" i="7"/>
  <c r="K48" i="7"/>
  <c r="Y6" i="17"/>
  <c r="J40" i="14" l="1"/>
  <c r="L37" i="18"/>
  <c r="O19" i="19"/>
  <c r="O33" i="19" s="1"/>
  <c r="K52" i="7" s="1"/>
  <c r="J39" i="14"/>
  <c r="J38" i="14" s="1"/>
  <c r="J37" i="14" s="1"/>
  <c r="J42" i="14"/>
  <c r="C44" i="18"/>
  <c r="L36" i="18"/>
  <c r="L41" i="18" s="1"/>
  <c r="L65" i="14"/>
  <c r="K19" i="7" s="1"/>
  <c r="M60" i="14"/>
  <c r="L39" i="14"/>
  <c r="L38" i="14" s="1"/>
  <c r="L37" i="14" s="1"/>
  <c r="L42" i="14"/>
  <c r="L41" i="14"/>
  <c r="L40" i="14"/>
  <c r="K45" i="7"/>
  <c r="C12" i="17"/>
  <c r="H20" i="15"/>
  <c r="E27" i="15" s="1"/>
  <c r="H27" i="15" s="1"/>
  <c r="D29" i="17"/>
  <c r="F29" i="17" s="1"/>
  <c r="G29" i="17" s="1"/>
  <c r="D28" i="17"/>
  <c r="F28" i="17" s="1"/>
  <c r="G28" i="17" s="1"/>
  <c r="E36" i="18" l="1"/>
  <c r="E35" i="18" s="1"/>
  <c r="L45" i="14"/>
  <c r="K18" i="7" s="1"/>
  <c r="D36" i="18"/>
  <c r="D35" i="18" s="1"/>
  <c r="C36" i="18" s="1"/>
  <c r="C35" i="18" s="1"/>
  <c r="K20" i="7"/>
  <c r="G31" i="17"/>
  <c r="F31" i="17" s="1"/>
  <c r="K31" i="17" s="1"/>
  <c r="K47" i="7" s="1"/>
  <c r="K49" i="7" s="1"/>
  <c r="C14" i="17"/>
  <c r="E14" i="17" s="1"/>
  <c r="C42" i="15"/>
  <c r="E42" i="15" s="1"/>
  <c r="K16" i="15"/>
  <c r="C35" i="15"/>
  <c r="E35" i="15" s="1"/>
  <c r="C38" i="15"/>
  <c r="E38" i="15" s="1"/>
  <c r="C34" i="15"/>
  <c r="E34" i="15" s="1"/>
  <c r="C39" i="15"/>
  <c r="E39" i="15" s="1"/>
  <c r="C36" i="15"/>
  <c r="E36" i="15" s="1"/>
  <c r="C37" i="15"/>
  <c r="E37" i="15" s="1"/>
  <c r="C41" i="15"/>
  <c r="E41" i="15" s="1"/>
  <c r="C43" i="15"/>
  <c r="E43" i="15" s="1"/>
  <c r="C40" i="15"/>
  <c r="E40" i="15" s="1"/>
  <c r="F44" i="15"/>
  <c r="F43" i="15" s="1"/>
  <c r="F42" i="15" s="1"/>
  <c r="F41" i="15" s="1"/>
  <c r="F40" i="15" s="1"/>
  <c r="F39" i="15" s="1"/>
  <c r="F38" i="15" s="1"/>
  <c r="F37" i="15" s="1"/>
  <c r="F36" i="15" s="1"/>
  <c r="F35" i="15" s="1"/>
  <c r="F33" i="15" s="1"/>
  <c r="M16" i="15" s="1"/>
  <c r="K27" i="7" s="1"/>
  <c r="K29" i="7" s="1"/>
  <c r="C44" i="15"/>
  <c r="E44" i="15" s="1"/>
  <c r="C30" i="18" l="1"/>
  <c r="F8" i="18" s="1"/>
  <c r="K56" i="7"/>
  <c r="K1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Pierce County User</author>
  </authors>
  <commentList>
    <comment ref="D13" authorId="0" shapeId="0" xr:uid="{00000000-0006-0000-0500-000001000000}">
      <text>
        <r>
          <rPr>
            <sz val="9"/>
            <color indexed="81"/>
            <rFont val="Tahoma"/>
            <family val="2"/>
          </rPr>
          <t>Must be an actual base, not office, training, or recruiting center.</t>
        </r>
      </text>
    </comment>
    <comment ref="D14" authorId="0" shapeId="0" xr:uid="{00000000-0006-0000-0500-000002000000}">
      <text>
        <r>
          <rPr>
            <sz val="9"/>
            <color indexed="81"/>
            <rFont val="Tahoma"/>
            <family val="2"/>
          </rPr>
          <t>A section adjacent to or within some distance (miles) of the project, or on the same main travel route, has been improved to equal or greater scope within the last 10 years.</t>
        </r>
      </text>
    </comment>
    <comment ref="D15" authorId="0" shapeId="0" xr:uid="{00000000-0006-0000-0500-000003000000}">
      <text>
        <r>
          <rPr>
            <sz val="9"/>
            <color indexed="81"/>
            <rFont val="Tahoma"/>
            <family val="2"/>
          </rPr>
          <t>School, church, grange, fire station, hospital, museum</t>
        </r>
      </text>
    </comment>
    <comment ref="D16" authorId="0" shapeId="0" xr:uid="{00000000-0006-0000-0500-000004000000}">
      <text>
        <r>
          <rPr>
            <sz val="9"/>
            <color indexed="81"/>
            <rFont val="Tahoma"/>
            <family val="2"/>
          </rPr>
          <t>YMCA, Park, Amusement Park</t>
        </r>
      </text>
    </comment>
    <comment ref="D17" authorId="0" shapeId="0" xr:uid="{00000000-0006-0000-0500-000005000000}">
      <text>
        <r>
          <rPr>
            <sz val="9"/>
            <color indexed="81"/>
            <rFont val="Tahoma"/>
            <family val="2"/>
          </rPr>
          <t xml:space="preserve">Serves as or directly connects to a detour for a state or interstate hwy. (miles from route that is detoured)
</t>
        </r>
      </text>
    </comment>
    <comment ref="D25" authorId="0" shapeId="0" xr:uid="{00000000-0006-0000-0500-000006000000}">
      <text>
        <r>
          <rPr>
            <sz val="9"/>
            <color indexed="81"/>
            <rFont val="Tahoma"/>
            <family val="2"/>
          </rPr>
          <t>Include commercial food processing, not retail.</t>
        </r>
      </text>
    </comment>
    <comment ref="D26" authorId="0" shapeId="0" xr:uid="{00000000-0006-0000-0500-000007000000}">
      <text>
        <r>
          <rPr>
            <sz val="9"/>
            <color indexed="81"/>
            <rFont val="Tahoma"/>
            <family val="2"/>
          </rPr>
          <t>i.e. parcel service, collection point. Not corporate office, or government post office.</t>
        </r>
      </text>
    </comment>
    <comment ref="D29" authorId="0" shapeId="0" xr:uid="{00000000-0006-0000-0500-000008000000}">
      <text>
        <r>
          <rPr>
            <sz val="9"/>
            <color indexed="81"/>
            <rFont val="Tahoma"/>
            <family val="2"/>
          </rPr>
          <t xml:space="preserve">Includes parcel service corporate office, post office, military recruiting, union hall.
</t>
        </r>
      </text>
    </comment>
  </commentList>
</comments>
</file>

<file path=xl/sharedStrings.xml><?xml version="1.0" encoding="utf-8"?>
<sst xmlns="http://schemas.openxmlformats.org/spreadsheetml/2006/main" count="336" uniqueCount="267">
  <si>
    <t>Possible</t>
  </si>
  <si>
    <t>Points</t>
  </si>
  <si>
    <t xml:space="preserve"> </t>
  </si>
  <si>
    <t>Subtotal</t>
  </si>
  <si>
    <t>Calculation Table</t>
  </si>
  <si>
    <t>AADT</t>
  </si>
  <si>
    <t>POINTS</t>
  </si>
  <si>
    <t>=</t>
  </si>
  <si>
    <t>+</t>
  </si>
  <si>
    <t>Excellent</t>
  </si>
  <si>
    <t>Good</t>
  </si>
  <si>
    <t>Fair</t>
  </si>
  <si>
    <t>Poor</t>
  </si>
  <si>
    <t>Very Poor</t>
  </si>
  <si>
    <t>&gt; 2000</t>
  </si>
  <si>
    <t>2'</t>
  </si>
  <si>
    <t>3' - 4'</t>
  </si>
  <si>
    <t>Terrain</t>
  </si>
  <si>
    <t>Flat</t>
  </si>
  <si>
    <t>Rolling</t>
  </si>
  <si>
    <t>Mountainous</t>
  </si>
  <si>
    <t>Minimum Design Speed</t>
  </si>
  <si>
    <t>TRUCK ADT</t>
  </si>
  <si>
    <t>ADT</t>
  </si>
  <si>
    <t>STRUCTURAL CONDITION:</t>
  </si>
  <si>
    <t>to 1/100s</t>
  </si>
  <si>
    <t>ACCIDENTS</t>
  </si>
  <si>
    <t>COUNTY</t>
  </si>
  <si>
    <t>PROPOSED</t>
  </si>
  <si>
    <t>EXISTING</t>
  </si>
  <si>
    <t>COLLECTORS</t>
  </si>
  <si>
    <t>ROADBED WIDTH</t>
  </si>
  <si>
    <t>&lt; 400</t>
  </si>
  <si>
    <t>400 - 1500</t>
  </si>
  <si>
    <t>1500 - 2000</t>
  </si>
  <si>
    <t>Existing Roadbed Width</t>
  </si>
  <si>
    <t>Proposed Roadbed Width</t>
  </si>
  <si>
    <t>TRAFFIC RATING</t>
  </si>
  <si>
    <t>PROJECT LENGTH, MI.</t>
  </si>
  <si>
    <t>TRAFFIC:</t>
  </si>
  <si>
    <t>TRAFFIC VOLUME</t>
  </si>
  <si>
    <t>TRAFFIC ACCIDENTS</t>
  </si>
  <si>
    <t>GEOMETRY:</t>
  </si>
  <si>
    <t>GEOMETRY RATING</t>
  </si>
  <si>
    <t>Widening</t>
  </si>
  <si>
    <t>Culvert end treatments</t>
  </si>
  <si>
    <t>Relocate Utility Poles</t>
  </si>
  <si>
    <t>NOTES:</t>
  </si>
  <si>
    <t>Design Speed</t>
  </si>
  <si>
    <t>Attach Roadside Hazard Review</t>
  </si>
  <si>
    <t>Reduce Roadside Hazards</t>
  </si>
  <si>
    <t>Condition:</t>
  </si>
  <si>
    <t>Project length</t>
  </si>
  <si>
    <t>Sideslopes and Guardrail</t>
  </si>
  <si>
    <t>Slopes or cuts must be 2:1 or steeper</t>
  </si>
  <si>
    <t>points</t>
  </si>
  <si>
    <t>fill sections must be 6' or higher</t>
  </si>
  <si>
    <t>Culvert End Treatments (5)</t>
  </si>
  <si>
    <t>Count road approach culverts to be beveled, Cross culverts to have safety bars added.</t>
  </si>
  <si>
    <t>1 pt for each treatment, up to 5 points</t>
  </si>
  <si>
    <t>for Safety Bars on cross culverts</t>
  </si>
  <si>
    <t>and beveled ends on road approach culverts</t>
  </si>
  <si>
    <t>Remove structure and obstuction from clear zone</t>
  </si>
  <si>
    <t>Objects per mile</t>
  </si>
  <si>
    <t>a)</t>
  </si>
  <si>
    <t>Structures and Obstructions</t>
  </si>
  <si>
    <t>trees, stumps &gt; 1.5 ft above ground level,</t>
  </si>
  <si>
    <t>Subtotals:</t>
  </si>
  <si>
    <t>Number of</t>
  </si>
  <si>
    <t xml:space="preserve">houses, concrete structures, </t>
  </si>
  <si>
    <t>1 - 4 / mile</t>
  </si>
  <si>
    <t>Mail Boxes</t>
  </si>
  <si>
    <t>5 - 10 / mile</t>
  </si>
  <si>
    <t>&gt; 10 / mile</t>
  </si>
  <si>
    <t>Relocate Utility Poles (5)</t>
  </si>
  <si>
    <t xml:space="preserve">  (to outside of clear zone,</t>
  </si>
  <si>
    <t>No. of poles to be relocated 4 ft beyond back of ditch or outside of clear zone</t>
  </si>
  <si>
    <t xml:space="preserve">  or 4' beyond back of ditch)</t>
  </si>
  <si>
    <r>
      <t xml:space="preserve">Number of </t>
    </r>
    <r>
      <rPr>
        <b/>
        <u/>
        <sz val="10"/>
        <rFont val="MS Sans Serif"/>
        <family val="2"/>
      </rPr>
      <t>non mailbox</t>
    </r>
    <r>
      <rPr>
        <sz val="10"/>
        <rFont val="MS Sans Serif"/>
        <family val="2"/>
      </rPr>
      <t xml:space="preserve"> objects that are </t>
    </r>
    <r>
      <rPr>
        <b/>
        <sz val="10"/>
        <rFont val="MS Sans Serif"/>
        <family val="2"/>
      </rPr>
      <t>"Roadside Hazards"</t>
    </r>
  </si>
  <si>
    <t>TRAFFIC VOLUME RATING</t>
  </si>
  <si>
    <t>non - breakaway sign supports, mailboxes</t>
  </si>
  <si>
    <t>10 pts total allowed</t>
  </si>
  <si>
    <t>(10 points max.)</t>
  </si>
  <si>
    <t>Sideslopes and Guardrail (5)</t>
  </si>
  <si>
    <t>Surface</t>
  </si>
  <si>
    <t>VISUAL AND STRUCTURE</t>
  </si>
  <si>
    <t>TRUCK AADT</t>
  </si>
  <si>
    <t>Remove Structure and Obstructions (5)</t>
  </si>
  <si>
    <t>ROADSIDE SAFETY CHECKLIST:</t>
  </si>
  <si>
    <r>
      <rPr>
        <b/>
        <u/>
        <sz val="10"/>
        <color indexed="12"/>
        <rFont val="MS Sans Serif"/>
        <family val="2"/>
      </rPr>
      <t>ROADSIDE SAFETY CHECKLIST</t>
    </r>
    <r>
      <rPr>
        <b/>
        <u/>
        <sz val="10"/>
        <rFont val="MS Sans Serif"/>
        <family val="2"/>
      </rPr>
      <t xml:space="preserve"> DEFINITIONS</t>
    </r>
  </si>
  <si>
    <t>Rate only fot those conditions that will be improved as indicated below</t>
  </si>
  <si>
    <t>ROADSIDE SAFETY:</t>
  </si>
  <si>
    <t>AASHTO Stnd</t>
  </si>
  <si>
    <r>
      <t xml:space="preserve">Length of project to be improved in </t>
    </r>
    <r>
      <rPr>
        <b/>
        <sz val="10"/>
        <rFont val="MS Sans Serif"/>
        <family val="2"/>
      </rPr>
      <t>miles</t>
    </r>
    <r>
      <rPr>
        <sz val="10"/>
        <rFont val="MS Sans Serif"/>
        <family val="2"/>
      </rPr>
      <t xml:space="preserve">, only for slopes </t>
    </r>
    <r>
      <rPr>
        <u/>
        <sz val="10"/>
        <rFont val="MS Sans Serif"/>
        <family val="2"/>
      </rPr>
      <t>&gt;</t>
    </r>
    <r>
      <rPr>
        <sz val="10"/>
        <rFont val="MS Sans Serif"/>
        <family val="2"/>
      </rPr>
      <t xml:space="preserve"> 6 ft. and 2:1 or steeper.</t>
    </r>
  </si>
  <si>
    <t xml:space="preserve">      3:1 or flatter</t>
  </si>
  <si>
    <t>TOTAL 2R RAP WORKSHEET RATING:</t>
  </si>
  <si>
    <t>Count section improved only once for any and all guardrail and slope improvements</t>
  </si>
  <si>
    <t>VOLUME</t>
  </si>
  <si>
    <t>ROAD WIDTH (shoulder to shoulder)</t>
  </si>
  <si>
    <t>SIDESLOPES &amp; GUARDRAIL</t>
  </si>
  <si>
    <t>CULVERT END TREATMENTS</t>
  </si>
  <si>
    <t>Calculated as % project length treated X 5 pts</t>
  </si>
  <si>
    <t>2R RATING SUMMARY:</t>
  </si>
  <si>
    <t>(Click on underlined text to input project data)</t>
  </si>
  <si>
    <r>
      <t xml:space="preserve">Roadside Safety - Reduce Roadside Hazards (10 pts) - </t>
    </r>
    <r>
      <rPr>
        <b/>
        <sz val="8"/>
        <color indexed="10"/>
        <rFont val="MS Sans Serif"/>
        <family val="2"/>
      </rPr>
      <t>Attach Hazard Review Documentation</t>
    </r>
  </si>
  <si>
    <t>Reduce Roadside Hazards:</t>
  </si>
  <si>
    <t>possible</t>
  </si>
  <si>
    <t>scored</t>
  </si>
  <si>
    <t>SURFACE</t>
  </si>
  <si>
    <t>PROJECT LENGTH</t>
  </si>
  <si>
    <t xml:space="preserve">2:1 or steeper
either side   </t>
  </si>
  <si>
    <t xml:space="preserve">      per biennium.)</t>
  </si>
  <si>
    <t>(50 points max.)</t>
  </si>
  <si>
    <t>UTILITY POLES</t>
  </si>
  <si>
    <t xml:space="preserve">   1.  Points for Surface and Subsurface visual portions of the STRUCTURAL CONDITION will be assigned by CRAB Engineer.</t>
  </si>
  <si>
    <t xml:space="preserve">   2.  No points are allowed for conditions which will not be improved by the proposed project.</t>
  </si>
  <si>
    <r>
      <rPr>
        <u/>
        <sz val="10"/>
        <rFont val="MS Sans Serif"/>
        <family val="2"/>
      </rPr>
      <t>&gt;</t>
    </r>
    <r>
      <rPr>
        <sz val="10"/>
        <rFont val="MS Sans Serif"/>
        <family val="2"/>
      </rPr>
      <t>6'</t>
    </r>
  </si>
  <si>
    <t>MAINTENANCE (Provide Maintenance Record)</t>
  </si>
  <si>
    <t>(20 points max.)</t>
  </si>
  <si>
    <t>(10 points, one project</t>
  </si>
  <si>
    <t>A maximum of 10 additional points may be assigned to account for special conditions</t>
  </si>
  <si>
    <t xml:space="preserve">    that may be present.   Describe these special conditions below.  </t>
  </si>
  <si>
    <t>1. Community / Recreational Service</t>
  </si>
  <si>
    <t>0 - 5 pts</t>
  </si>
  <si>
    <t>To Qualify for full points (1 each), facility must be within 1 mile of the project</t>
  </si>
  <si>
    <t>Miles from</t>
  </si>
  <si>
    <t>project</t>
  </si>
  <si>
    <t xml:space="preserve">Military base          </t>
  </si>
  <si>
    <t>Military post, base or other facility</t>
  </si>
  <si>
    <t>Missing Link</t>
  </si>
  <si>
    <t>Completes or continues improvements done adjacent to project.</t>
  </si>
  <si>
    <t xml:space="preserve">Community           </t>
  </si>
  <si>
    <t>School, church, grange, fire station</t>
  </si>
  <si>
    <t>Recreation</t>
  </si>
  <si>
    <t>YMCA, Park, Amusement Park</t>
  </si>
  <si>
    <t>Detour</t>
  </si>
  <si>
    <t>Serves as or directly connects to a detour for a</t>
  </si>
  <si>
    <t xml:space="preserve">     state or interstate highway</t>
  </si>
  <si>
    <t>Community total</t>
  </si>
  <si>
    <t>2. Commercial Service</t>
  </si>
  <si>
    <t>Construction or industrial materials processing</t>
  </si>
  <si>
    <t>logging, timber, gravel, concrete</t>
  </si>
  <si>
    <t>Storage or processing facitity</t>
  </si>
  <si>
    <t>Consumable commodities</t>
  </si>
  <si>
    <t>Manufacturing facility</t>
  </si>
  <si>
    <t>Retail facility</t>
  </si>
  <si>
    <t>Corporate or government office facility</t>
  </si>
  <si>
    <t>Commercial total</t>
  </si>
  <si>
    <t>Combined total</t>
  </si>
  <si>
    <t>STRUCTURAL CONDITION RATING</t>
  </si>
  <si>
    <t>X 15 pts =</t>
  </si>
  <si>
    <t>Scored</t>
  </si>
  <si>
    <t>Existing ADT</t>
  </si>
  <si>
    <t xml:space="preserve">ADT Year </t>
  </si>
  <si>
    <t>or</t>
  </si>
  <si>
    <t>Existing Truck ADT</t>
  </si>
  <si>
    <t>Truck ADT Yr</t>
  </si>
  <si>
    <t>Determine traffic volume rating using table below</t>
  </si>
  <si>
    <t>ADT = Average Weekday Traffic Volumes</t>
  </si>
  <si>
    <t>TRAFFIC VOLUME RATING TABLE</t>
  </si>
  <si>
    <t>Average</t>
  </si>
  <si>
    <t>Truck ADT</t>
  </si>
  <si>
    <r>
      <t>&lt;</t>
    </r>
    <r>
      <rPr>
        <sz val="10"/>
        <rFont val="MS Sans Serif"/>
      </rPr>
      <t xml:space="preserve"> 500</t>
    </r>
  </si>
  <si>
    <t>OR</t>
  </si>
  <si>
    <r>
      <t>&lt;</t>
    </r>
    <r>
      <rPr>
        <sz val="10"/>
        <rFont val="MS Sans Serif"/>
      </rPr>
      <t xml:space="preserve"> 50</t>
    </r>
  </si>
  <si>
    <t>501 - 1000</t>
  </si>
  <si>
    <t>51 - 100</t>
  </si>
  <si>
    <t>1001 - 2000</t>
  </si>
  <si>
    <t>101 - 200</t>
  </si>
  <si>
    <t>2001 - 5000</t>
  </si>
  <si>
    <t>201 - 500</t>
  </si>
  <si>
    <r>
      <t>&gt;</t>
    </r>
    <r>
      <rPr>
        <sz val="10"/>
        <rFont val="MS Sans Serif"/>
      </rPr>
      <t>5001</t>
    </r>
  </si>
  <si>
    <r>
      <t>&gt;</t>
    </r>
    <r>
      <rPr>
        <sz val="10"/>
        <rFont val="MS Sans Serif"/>
      </rPr>
      <t>501</t>
    </r>
  </si>
  <si>
    <t>Accident history for the three most recent consecutive years.</t>
  </si>
  <si>
    <t>Property</t>
  </si>
  <si>
    <t>Damage</t>
  </si>
  <si>
    <t>Year</t>
  </si>
  <si>
    <t>Only</t>
  </si>
  <si>
    <t>Injury</t>
  </si>
  <si>
    <t>Fatal</t>
  </si>
  <si>
    <t>x 1</t>
  </si>
  <si>
    <t>x 5</t>
  </si>
  <si>
    <t>TOTAL  =</t>
  </si>
  <si>
    <t>ACCIDENT HISTORY RATING</t>
  </si>
  <si>
    <t>(from Total above)</t>
  </si>
  <si>
    <t>ADT Year</t>
  </si>
  <si>
    <t>Truck ADT Year</t>
  </si>
  <si>
    <t>INJURY, NON FATAL ACC</t>
  </si>
  <si>
    <t>FATAL ACC</t>
  </si>
  <si>
    <t>P.D. ONLY ACC</t>
  </si>
  <si>
    <t>Tight Surface, no cracks, slick porous or raveled areas</t>
  </si>
  <si>
    <t>Low Severeity, minor extent (&lt;= 10% of any NWPMA distress)</t>
  </si>
  <si>
    <t>Mod. Severity and Mod. Extent distress ( high extent &gt;= 50%)</t>
  </si>
  <si>
    <t>High severity and high extent of any NWPMA distress</t>
  </si>
  <si>
    <t>SCORE:</t>
  </si>
  <si>
    <t>ROADWAY MAINT HISTORY (10 Points Max.)</t>
  </si>
  <si>
    <t>ROADWAY SURFACE CONDITION - ACP AND ACP/PCC (40 Points Max.)</t>
  </si>
  <si>
    <t>LOCAL SIGNIFICANCE (10 Points Max.)</t>
  </si>
  <si>
    <t>PS REGION 
RAP 2R project</t>
  </si>
  <si>
    <t>INTERMEDIATE POINT RANGES ARE ACCEPTABLE</t>
  </si>
  <si>
    <t>PROPOSED SHOULD NOT BE GREATER THAN:</t>
  </si>
  <si>
    <t>DESIGN ROADBED WIDTH CALCULATION FOR COLLECTORS</t>
  </si>
  <si>
    <t>Adjusted 2R Des. Speed Calc. Table</t>
  </si>
  <si>
    <t>DESIGN ROADBED WIDTH CALCULATION FOR ARTERIALS</t>
  </si>
  <si>
    <t>ARTERIALS</t>
  </si>
  <si>
    <t>DESIGN</t>
  </si>
  <si>
    <t>LANE WIDTHS PER ADT</t>
  </si>
  <si>
    <t>SHOULDER WIDTHS PER ADT</t>
  </si>
  <si>
    <t>ROADWAY WIDTHS PER ADT</t>
  </si>
  <si>
    <t>SPEED</t>
  </si>
  <si>
    <t>ALL SPEEDS</t>
  </si>
  <si>
    <t>miles to hundredths</t>
  </si>
  <si>
    <t>Fed Function Class</t>
  </si>
  <si>
    <t>FFC</t>
  </si>
  <si>
    <t>Traffic Volume (5 Points Max.)</t>
  </si>
  <si>
    <t>Numbers of Accidents</t>
  </si>
  <si>
    <t>X Factor</t>
  </si>
  <si>
    <t>Accident History (5 Points Max.)</t>
  </si>
  <si>
    <t>County Wide - RAP eligible roads only.</t>
  </si>
  <si>
    <t>RATIO OF COSTS</t>
  </si>
  <si>
    <t>County - wide</t>
  </si>
  <si>
    <t>Project</t>
  </si>
  <si>
    <t>3 Yr total</t>
  </si>
  <si>
    <t>Cost /mile/yr</t>
  </si>
  <si>
    <t>Maintenance cost</t>
  </si>
  <si>
    <t>Factor:</t>
  </si>
  <si>
    <t>Score:</t>
  </si>
  <si>
    <t>Range of</t>
  </si>
  <si>
    <r>
      <t>&lt;</t>
    </r>
    <r>
      <rPr>
        <sz val="10"/>
        <rFont val="Arial"/>
        <family val="2"/>
      </rPr>
      <t xml:space="preserve"> 1</t>
    </r>
  </si>
  <si>
    <t>Scores</t>
  </si>
  <si>
    <t>miles</t>
  </si>
  <si>
    <t xml:space="preserve"> =</t>
  </si>
  <si>
    <t>&gt; 10</t>
  </si>
  <si>
    <t>crack sealing, patching, ditching</t>
  </si>
  <si>
    <t xml:space="preserve">RATIO = </t>
  </si>
  <si>
    <t xml:space="preserve"> 
</t>
  </si>
  <si>
    <t>Supply supporting records as hard copy</t>
  </si>
  <si>
    <t>Supply supporting Acc. records</t>
  </si>
  <si>
    <t>REMOVE STRUCT. &amp; OBSTRUCTIONS</t>
  </si>
  <si>
    <t>TOTAL SCORE</t>
  </si>
  <si>
    <t>ROAD NAME</t>
  </si>
  <si>
    <t xml:space="preserve">Low Severity / Mod. Extent or Mod. Severity / Low extent, (11% - 45%) </t>
  </si>
  <si>
    <t>of any NWPMA distress</t>
  </si>
  <si>
    <t xml:space="preserve"> i.e.:   FFC 02, 06, 07, 08</t>
  </si>
  <si>
    <t xml:space="preserve"> - For Rural Arterial (RAP Eligible) Roads,</t>
  </si>
  <si>
    <t>MAINTENANCE
 SCORE</t>
  </si>
  <si>
    <t>soil stabilization, culvert cleaning and repair</t>
  </si>
  <si>
    <r>
      <rPr>
        <b/>
        <u/>
        <sz val="10"/>
        <color indexed="10"/>
        <rFont val="Arial"/>
        <family val="2"/>
      </rPr>
      <t>3 YR</t>
    </r>
    <r>
      <rPr>
        <b/>
        <u/>
        <sz val="10"/>
        <rFont val="Arial"/>
        <family val="2"/>
      </rPr>
      <t xml:space="preserve"> MAINTENANCE COSTS</t>
    </r>
  </si>
  <si>
    <r>
      <t>*</t>
    </r>
    <r>
      <rPr>
        <sz val="10"/>
        <rFont val="Arial"/>
        <family val="2"/>
      </rPr>
      <t xml:space="preserve"> Maint Costs</t>
    </r>
  </si>
  <si>
    <r>
      <t>&lt; in 100</t>
    </r>
    <r>
      <rPr>
        <vertAlign val="superscript"/>
        <sz val="10"/>
        <rFont val="Arial"/>
        <family val="2"/>
      </rPr>
      <t>th</t>
    </r>
    <r>
      <rPr>
        <sz val="10"/>
        <rFont val="Arial"/>
        <family val="2"/>
      </rPr>
      <t>s &gt;</t>
    </r>
  </si>
  <si>
    <r>
      <t>*</t>
    </r>
    <r>
      <rPr>
        <sz val="8"/>
        <rFont val="Arial"/>
        <family val="2"/>
      </rPr>
      <t xml:space="preserve"> Limit costs considered to;</t>
    </r>
  </si>
  <si>
    <r>
      <t>&lt;</t>
    </r>
    <r>
      <rPr>
        <sz val="10"/>
        <rFont val="Arial"/>
        <family val="2"/>
      </rPr>
      <t xml:space="preserve"> 1.25</t>
    </r>
  </si>
  <si>
    <r>
      <t>&lt;</t>
    </r>
    <r>
      <rPr>
        <sz val="10"/>
        <rFont val="Arial"/>
        <family val="2"/>
      </rPr>
      <t xml:space="preserve"> 1.5</t>
    </r>
  </si>
  <si>
    <r>
      <t>&lt;</t>
    </r>
    <r>
      <rPr>
        <sz val="10"/>
        <rFont val="Arial"/>
        <family val="2"/>
      </rPr>
      <t xml:space="preserve"> 1.75</t>
    </r>
  </si>
  <si>
    <r>
      <t>&lt;</t>
    </r>
    <r>
      <rPr>
        <sz val="10"/>
        <rFont val="Arial"/>
        <family val="2"/>
      </rPr>
      <t xml:space="preserve"> 2</t>
    </r>
  </si>
  <si>
    <r>
      <t>&lt;</t>
    </r>
    <r>
      <rPr>
        <sz val="10"/>
        <rFont val="Arial"/>
        <family val="2"/>
      </rPr>
      <t xml:space="preserve"> 3</t>
    </r>
  </si>
  <si>
    <r>
      <t>&lt;</t>
    </r>
    <r>
      <rPr>
        <sz val="10"/>
        <rFont val="Arial"/>
        <family val="2"/>
      </rPr>
      <t xml:space="preserve"> 4</t>
    </r>
  </si>
  <si>
    <r>
      <t>&lt;</t>
    </r>
    <r>
      <rPr>
        <sz val="10"/>
        <rFont val="Arial"/>
        <family val="2"/>
      </rPr>
      <t xml:space="preserve"> 5</t>
    </r>
  </si>
  <si>
    <r>
      <t>&lt;</t>
    </r>
    <r>
      <rPr>
        <sz val="10"/>
        <rFont val="Arial"/>
        <family val="2"/>
      </rPr>
      <t xml:space="preserve"> 8</t>
    </r>
  </si>
  <si>
    <r>
      <t>&lt;</t>
    </r>
    <r>
      <rPr>
        <sz val="10"/>
        <rFont val="Arial"/>
        <family val="2"/>
      </rPr>
      <t xml:space="preserve"> 10</t>
    </r>
  </si>
  <si>
    <t>Furnished by CRAB staff  &gt;&gt;</t>
  </si>
  <si>
    <r>
      <t xml:space="preserve">( ratio </t>
    </r>
    <r>
      <rPr>
        <u/>
        <sz val="8.5"/>
        <rFont val="Arial"/>
        <family val="2"/>
      </rPr>
      <t>&lt;</t>
    </r>
    <r>
      <rPr>
        <sz val="8.5"/>
        <rFont val="Arial"/>
        <family val="2"/>
      </rPr>
      <t xml:space="preserve"> 1 = 0 points)</t>
    </r>
  </si>
  <si>
    <t>ROADWAY WIDTH</t>
  </si>
  <si>
    <t>(Outside of shoulder to outside of shoulder)</t>
  </si>
  <si>
    <t>LOCAL SIGNIFICANCE:</t>
  </si>
  <si>
    <t>Use the last three 
full years' reports</t>
  </si>
  <si>
    <t>Total RAP eligible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</si>
</sst>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0.0"/>
    <numFmt numFmtId="165" formatCode="#,##0.0_);[Red]\(#,##0.0\)"/>
    <numFmt numFmtId="166" formatCode="#"/>
    <numFmt numFmtId="167" formatCode="[$-409]mmmm\ d\,\ yyyy;@"/>
    <numFmt numFmtId="168" formatCode="mm/dd/yy;@"/>
    <numFmt numFmtId="169" formatCode="_(&quot;$&quot;* #,##0_);_(&quot;$&quot;* \(#,##0\);_(&quot;$&quot;* &quot;-&quot;??_);_(@_)"/>
    <numFmt numFmtId="170" formatCode="_(* #,##0.00_);_(* \(#,##0.00\);_(* &quot;-&quot;_);_(@_)"/>
    <numFmt numFmtId="171" formatCode="#,##0.0"/>
    <numFmt numFmtId="172" formatCode="0#"/>
  </numFmts>
  <fonts count="89" x14ac:knownFonts="1">
    <font>
      <sz val="10"/>
      <name val="MS Sans Serif"/>
    </font>
    <font>
      <sz val="10"/>
      <name val="Arial"/>
      <family val="2"/>
    </font>
    <font>
      <u/>
      <sz val="10"/>
      <color indexed="12"/>
      <name val="MS Sans Serif"/>
      <family val="2"/>
    </font>
    <font>
      <b/>
      <sz val="10"/>
      <name val="MS Sans Serif"/>
      <family val="2"/>
    </font>
    <font>
      <u/>
      <sz val="10"/>
      <name val="MS Sans Serif"/>
      <family val="2"/>
    </font>
    <font>
      <sz val="10"/>
      <name val="MS Sans Serif"/>
      <family val="2"/>
    </font>
    <font>
      <b/>
      <sz val="10"/>
      <color indexed="10"/>
      <name val="MS Sans Serif"/>
      <family val="2"/>
    </font>
    <font>
      <b/>
      <sz val="10"/>
      <name val="MS Sans Serif"/>
      <family val="2"/>
    </font>
    <font>
      <sz val="6"/>
      <name val="MS Sans Serif"/>
      <family val="2"/>
    </font>
    <font>
      <sz val="8"/>
      <name val="MS Sans Serif"/>
      <family val="2"/>
    </font>
    <font>
      <u/>
      <sz val="8"/>
      <name val="MS Sans Serif"/>
      <family val="2"/>
    </font>
    <font>
      <sz val="8.5"/>
      <name val="MS Sans Serif"/>
      <family val="2"/>
    </font>
    <font>
      <b/>
      <u/>
      <sz val="10"/>
      <name val="MS Sans Serif"/>
      <family val="2"/>
    </font>
    <font>
      <b/>
      <u/>
      <sz val="10"/>
      <name val="MS Sans Serif"/>
      <family val="2"/>
    </font>
    <font>
      <b/>
      <sz val="13.5"/>
      <name val="MS Sans Serif"/>
      <family val="2"/>
    </font>
    <font>
      <b/>
      <sz val="10"/>
      <color indexed="14"/>
      <name val="MS Sans Serif"/>
      <family val="2"/>
    </font>
    <font>
      <b/>
      <sz val="10"/>
      <color indexed="12"/>
      <name val="MS Sans Serif"/>
      <family val="2"/>
    </font>
    <font>
      <sz val="12"/>
      <name val="MS Sans Serif"/>
      <family val="2"/>
    </font>
    <font>
      <sz val="12"/>
      <name val="MS Sans Serif"/>
      <family val="2"/>
    </font>
    <font>
      <sz val="8"/>
      <name val="MS Sans Serif"/>
      <family val="2"/>
    </font>
    <font>
      <sz val="10"/>
      <color indexed="10"/>
      <name val="MS Sans Serif"/>
      <family val="2"/>
    </font>
    <font>
      <b/>
      <sz val="10"/>
      <color indexed="10"/>
      <name val="MS Sans Serif"/>
      <family val="2"/>
    </font>
    <font>
      <b/>
      <sz val="8"/>
      <name val="MS Sans Serif"/>
      <family val="2"/>
    </font>
    <font>
      <b/>
      <u/>
      <sz val="8"/>
      <name val="MS Sans Serif"/>
      <family val="2"/>
    </font>
    <font>
      <sz val="8"/>
      <color indexed="10"/>
      <name val="MS Sans Serif"/>
      <family val="2"/>
    </font>
    <font>
      <sz val="10"/>
      <name val="MS Sans Serif"/>
      <family val="2"/>
    </font>
    <font>
      <sz val="10"/>
      <color indexed="10"/>
      <name val="MS Sans Serif"/>
      <family val="2"/>
    </font>
    <font>
      <b/>
      <u/>
      <sz val="10"/>
      <color indexed="12"/>
      <name val="MS Sans Serif"/>
      <family val="2"/>
    </font>
    <font>
      <sz val="10"/>
      <color indexed="9"/>
      <name val="MS Sans Serif"/>
      <family val="2"/>
    </font>
    <font>
      <b/>
      <sz val="10"/>
      <name val="Arial"/>
      <family val="2"/>
    </font>
    <font>
      <sz val="8.5"/>
      <name val="MS Sans Serif"/>
      <family val="2"/>
    </font>
    <font>
      <sz val="14"/>
      <color indexed="10"/>
      <name val="MS Sans Serif"/>
      <family val="2"/>
    </font>
    <font>
      <sz val="7"/>
      <color indexed="10"/>
      <name val="MS Sans Serif"/>
      <family val="2"/>
    </font>
    <font>
      <sz val="10"/>
      <name val="MS Sans Serif"/>
      <family val="2"/>
    </font>
    <font>
      <b/>
      <u/>
      <sz val="12"/>
      <color indexed="12"/>
      <name val="MS Sans Serif"/>
      <family val="2"/>
    </font>
    <font>
      <b/>
      <u/>
      <sz val="14"/>
      <name val="MS Sans Serif"/>
      <family val="2"/>
    </font>
    <font>
      <b/>
      <u/>
      <sz val="14"/>
      <color indexed="12"/>
      <name val="Arial"/>
      <family val="2"/>
    </font>
    <font>
      <b/>
      <u/>
      <sz val="18"/>
      <color indexed="12"/>
      <name val="Arial"/>
      <family val="2"/>
    </font>
    <font>
      <b/>
      <sz val="8"/>
      <color indexed="10"/>
      <name val="MS Sans Serif"/>
      <family val="2"/>
    </font>
    <font>
      <sz val="7"/>
      <name val="MS Sans Serif"/>
      <family val="2"/>
    </font>
    <font>
      <sz val="12"/>
      <name val="Arial"/>
      <family val="2"/>
    </font>
    <font>
      <b/>
      <sz val="8.5"/>
      <name val="MS Sans Serif"/>
      <family val="2"/>
    </font>
    <font>
      <b/>
      <sz val="7"/>
      <name val="MS Sans Serif"/>
      <family val="2"/>
    </font>
    <font>
      <b/>
      <sz val="7"/>
      <color indexed="10"/>
      <name val="Arial"/>
      <family val="2"/>
    </font>
    <font>
      <b/>
      <sz val="10"/>
      <color indexed="10"/>
      <name val="Arial"/>
      <family val="2"/>
    </font>
    <font>
      <u/>
      <sz val="10"/>
      <name val="Arial"/>
      <family val="2"/>
    </font>
    <font>
      <sz val="10"/>
      <color indexed="14"/>
      <name val="MS Sans Serif"/>
      <family val="2"/>
    </font>
    <font>
      <sz val="9"/>
      <color indexed="81"/>
      <name val="Tahoma"/>
      <family val="2"/>
    </font>
    <font>
      <sz val="10"/>
      <name val="MS Sans Serif"/>
      <family val="2"/>
    </font>
    <font>
      <b/>
      <sz val="10"/>
      <color indexed="61"/>
      <name val="MS Sans Serif"/>
      <family val="2"/>
    </font>
    <font>
      <sz val="10"/>
      <color indexed="61"/>
      <name val="MS Sans Serif"/>
      <family val="2"/>
    </font>
    <font>
      <b/>
      <u/>
      <sz val="10"/>
      <color indexed="12"/>
      <name val="Arial"/>
      <family val="2"/>
    </font>
    <font>
      <b/>
      <u/>
      <sz val="10"/>
      <name val="Arial"/>
      <family val="2"/>
    </font>
    <font>
      <sz val="10"/>
      <color indexed="10"/>
      <name val="Arial"/>
      <family val="2"/>
    </font>
    <font>
      <b/>
      <sz val="16"/>
      <color indexed="10"/>
      <name val="Arial"/>
      <family val="2"/>
    </font>
    <font>
      <b/>
      <sz val="14"/>
      <color indexed="10"/>
      <name val="Arial"/>
      <family val="2"/>
    </font>
    <font>
      <sz val="10"/>
      <color indexed="47"/>
      <name val="Arial"/>
      <family val="2"/>
    </font>
    <font>
      <sz val="8"/>
      <name val="Arial"/>
      <family val="2"/>
    </font>
    <font>
      <b/>
      <sz val="10"/>
      <color indexed="47"/>
      <name val="Arial"/>
      <family val="2"/>
    </font>
    <font>
      <u/>
      <sz val="10"/>
      <color indexed="12"/>
      <name val="Arial"/>
      <family val="2"/>
    </font>
    <font>
      <b/>
      <sz val="10"/>
      <color indexed="12"/>
      <name val="Arial"/>
      <family val="2"/>
    </font>
    <font>
      <b/>
      <u/>
      <sz val="10"/>
      <color indexed="10"/>
      <name val="Arial"/>
      <family val="2"/>
    </font>
    <font>
      <sz val="8.5"/>
      <name val="Arial"/>
      <family val="2"/>
    </font>
    <font>
      <u/>
      <sz val="8.5"/>
      <name val="Arial"/>
      <family val="2"/>
    </font>
    <font>
      <b/>
      <sz val="12"/>
      <color indexed="10"/>
      <name val="Arial"/>
      <family val="2"/>
    </font>
    <font>
      <vertAlign val="superscript"/>
      <sz val="10"/>
      <name val="Arial"/>
      <family val="2"/>
    </font>
    <font>
      <b/>
      <sz val="8"/>
      <color indexed="10"/>
      <name val="Arial"/>
      <family val="2"/>
    </font>
    <font>
      <sz val="11"/>
      <color theme="1"/>
      <name val="Arial"/>
      <family val="2"/>
    </font>
    <font>
      <sz val="10"/>
      <color theme="0" tint="-0.14999847407452621"/>
      <name val="MS Sans Serif"/>
      <family val="2"/>
    </font>
    <font>
      <b/>
      <sz val="10"/>
      <color rgb="FFFF0000"/>
      <name val="MS Sans Serif"/>
      <family val="2"/>
    </font>
    <font>
      <b/>
      <sz val="10"/>
      <color rgb="FFC00000"/>
      <name val="MS Sans Serif"/>
      <family val="2"/>
    </font>
    <font>
      <sz val="10"/>
      <color theme="0"/>
      <name val="MS Sans Serif"/>
      <family val="2"/>
    </font>
    <font>
      <b/>
      <sz val="12"/>
      <color rgb="FFFF0000"/>
      <name val="MS Sans Serif"/>
      <family val="2"/>
    </font>
    <font>
      <b/>
      <sz val="14"/>
      <color rgb="FF7030A0"/>
      <name val="MS Sans Serif"/>
      <family val="2"/>
    </font>
    <font>
      <b/>
      <sz val="18"/>
      <color rgb="FF7030A0"/>
      <name val="MS Sans Serif"/>
      <family val="2"/>
    </font>
    <font>
      <sz val="10"/>
      <color rgb="FFFF0000"/>
      <name val="MS Sans Serif"/>
      <family val="2"/>
    </font>
    <font>
      <sz val="10"/>
      <color theme="4" tint="0.79998168889431442"/>
      <name val="MS Sans Serif"/>
      <family val="2"/>
    </font>
    <font>
      <sz val="10"/>
      <color theme="4" tint="0.79998168889431442"/>
      <name val="Arial"/>
      <family val="2"/>
    </font>
    <font>
      <sz val="8"/>
      <color theme="4" tint="0.79998168889431442"/>
      <name val="MS Sans Serif"/>
      <family val="2"/>
    </font>
    <font>
      <b/>
      <sz val="10"/>
      <color rgb="FFFF0000"/>
      <name val="Arial"/>
      <family val="2"/>
    </font>
    <font>
      <b/>
      <sz val="10"/>
      <color rgb="FF0070C0"/>
      <name val="Arial"/>
      <family val="2"/>
    </font>
    <font>
      <sz val="10"/>
      <color rgb="FFFF0000"/>
      <name val="Arial"/>
      <family val="2"/>
    </font>
    <font>
      <sz val="10"/>
      <color theme="0"/>
      <name val="Arial"/>
      <family val="2"/>
    </font>
    <font>
      <b/>
      <sz val="12"/>
      <color rgb="FF7030A0"/>
      <name val="MS Sans Serif"/>
      <family val="2"/>
    </font>
    <font>
      <sz val="12"/>
      <color rgb="FF7030A0"/>
      <name val="MS Sans Serif"/>
      <family val="2"/>
    </font>
    <font>
      <b/>
      <sz val="8"/>
      <color rgb="FFFF0000"/>
      <name val="MS Sans Serif"/>
      <family val="2"/>
    </font>
    <font>
      <b/>
      <sz val="18"/>
      <color rgb="FF7030A0"/>
      <name val="Arial"/>
      <family val="2"/>
    </font>
    <font>
      <b/>
      <sz val="8"/>
      <color rgb="FFFF0000"/>
      <name val="MS Sans Serif"/>
    </font>
    <font>
      <b/>
      <sz val="10"/>
      <color rgb="FFFF0000"/>
      <name val="MS Sans Serif"/>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s>
  <borders count="5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50"/>
      </right>
      <top/>
      <bottom/>
      <diagonal/>
    </border>
    <border>
      <left/>
      <right/>
      <top/>
      <bottom style="medium">
        <color indexed="50"/>
      </bottom>
      <diagonal/>
    </border>
    <border>
      <left/>
      <right/>
      <top/>
      <bottom style="double">
        <color indexed="64"/>
      </bottom>
      <diagonal/>
    </border>
    <border>
      <left style="medium">
        <color indexed="50"/>
      </left>
      <right/>
      <top/>
      <bottom/>
      <diagonal/>
    </border>
    <border>
      <left style="medium">
        <color indexed="50"/>
      </left>
      <right/>
      <top/>
      <bottom style="medium">
        <color indexed="50"/>
      </bottom>
      <diagonal/>
    </border>
    <border>
      <left/>
      <right style="medium">
        <color indexed="50"/>
      </right>
      <top/>
      <bottom style="medium">
        <color indexed="50"/>
      </bottom>
      <diagonal/>
    </border>
    <border>
      <left/>
      <right/>
      <top style="hair">
        <color indexed="64"/>
      </top>
      <bottom/>
      <diagonal/>
    </border>
    <border>
      <left/>
      <right/>
      <top style="double">
        <color indexed="64"/>
      </top>
      <bottom/>
      <diagonal/>
    </border>
    <border>
      <left/>
      <right style="medium">
        <color indexed="50"/>
      </right>
      <top style="medium">
        <color indexed="50"/>
      </top>
      <bottom/>
      <diagonal/>
    </border>
    <border>
      <left style="medium">
        <color indexed="50"/>
      </left>
      <right/>
      <top style="medium">
        <color indexed="50"/>
      </top>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50"/>
      </top>
      <bottom/>
      <diagonal/>
    </border>
    <border>
      <left/>
      <right style="medium">
        <color rgb="FF00B05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00B050"/>
      </left>
      <right/>
      <top/>
      <bottom/>
      <diagonal/>
    </border>
    <border>
      <left/>
      <right style="thick">
        <color rgb="FF00B050"/>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C00000"/>
      </left>
      <right style="thick">
        <color rgb="FFC00000"/>
      </right>
      <top style="thick">
        <color rgb="FFC00000"/>
      </top>
      <bottom style="thick">
        <color rgb="FFC00000"/>
      </bottom>
      <diagonal/>
    </border>
    <border>
      <left style="medium">
        <color rgb="FFC00000"/>
      </left>
      <right style="medium">
        <color rgb="FFC00000"/>
      </right>
      <top style="medium">
        <color rgb="FFC00000"/>
      </top>
      <bottom style="medium">
        <color rgb="FFC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8">
    <xf numFmtId="0" fontId="0" fillId="0" borderId="0"/>
    <xf numFmtId="40" fontId="33" fillId="0" borderId="0" applyFont="0" applyFill="0" applyBorder="0" applyAlignment="0" applyProtection="0"/>
    <xf numFmtId="44" fontId="48" fillId="0" borderId="0" applyFont="0" applyFill="0" applyBorder="0" applyAlignment="0" applyProtection="0"/>
    <xf numFmtId="0" fontId="2" fillId="0" borderId="0" applyNumberFormat="0" applyFill="0" applyBorder="0" applyAlignment="0" applyProtection="0">
      <alignment vertical="top"/>
      <protection locked="0"/>
    </xf>
    <xf numFmtId="0" fontId="67" fillId="0" borderId="0"/>
    <xf numFmtId="0" fontId="5" fillId="0" borderId="0"/>
    <xf numFmtId="0" fontId="25" fillId="0" borderId="0"/>
    <xf numFmtId="9" fontId="1" fillId="0" borderId="0" applyFont="0" applyFill="0" applyBorder="0" applyAlignment="0" applyProtection="0"/>
  </cellStyleXfs>
  <cellXfs count="522">
    <xf numFmtId="0" fontId="0" fillId="0" borderId="0" xfId="0"/>
    <xf numFmtId="0" fontId="0" fillId="0" borderId="0" xfId="0" applyAlignment="1" applyProtection="1">
      <alignment horizontal="left"/>
    </xf>
    <xf numFmtId="0" fontId="0" fillId="0" borderId="0" xfId="0" applyAlignment="1" applyProtection="1"/>
    <xf numFmtId="0" fontId="0" fillId="0" borderId="1" xfId="0" applyBorder="1" applyAlignment="1" applyProtection="1"/>
    <xf numFmtId="0" fontId="0" fillId="0" borderId="0" xfId="0" applyAlignment="1" applyProtection="1">
      <alignment horizontal="center"/>
    </xf>
    <xf numFmtId="0" fontId="0" fillId="0" borderId="0" xfId="0" applyBorder="1" applyAlignment="1" applyProtection="1">
      <alignment horizontal="left"/>
    </xf>
    <xf numFmtId="0" fontId="0" fillId="0" borderId="0" xfId="0" applyProtection="1"/>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3" fillId="0" borderId="0" xfId="0" applyFont="1" applyBorder="1" applyAlignment="1" applyProtection="1">
      <alignment horizontal="center"/>
    </xf>
    <xf numFmtId="0" fontId="0" fillId="0" borderId="0" xfId="0" applyBorder="1" applyAlignment="1" applyProtection="1">
      <alignment horizontal="center"/>
    </xf>
    <xf numFmtId="0" fontId="16" fillId="0" borderId="0" xfId="0" applyFont="1" applyBorder="1" applyAlignment="1" applyProtection="1"/>
    <xf numFmtId="0" fontId="0" fillId="0" borderId="0" xfId="0" applyBorder="1" applyAlignment="1" applyProtection="1">
      <alignment horizontal="right"/>
    </xf>
    <xf numFmtId="2" fontId="0" fillId="0" borderId="2" xfId="0" applyNumberFormat="1" applyBorder="1" applyAlignment="1" applyProtection="1">
      <alignment horizontal="center"/>
    </xf>
    <xf numFmtId="0" fontId="0" fillId="0" borderId="0" xfId="0" applyBorder="1" applyProtection="1"/>
    <xf numFmtId="0" fontId="0" fillId="0" borderId="0" xfId="0" applyBorder="1" applyAlignment="1" applyProtection="1"/>
    <xf numFmtId="0" fontId="0" fillId="0" borderId="3" xfId="0" applyBorder="1" applyAlignment="1" applyProtection="1">
      <alignment horizontal="center"/>
    </xf>
    <xf numFmtId="0" fontId="4" fillId="0" borderId="0" xfId="0" applyFont="1" applyBorder="1" applyAlignment="1" applyProtection="1">
      <alignment horizontal="center"/>
    </xf>
    <xf numFmtId="0" fontId="5" fillId="0" borderId="0" xfId="0" applyFont="1" applyBorder="1" applyAlignment="1" applyProtection="1">
      <alignment horizontal="left"/>
    </xf>
    <xf numFmtId="0" fontId="7" fillId="0" borderId="0" xfId="0" applyFont="1" applyBorder="1" applyAlignment="1" applyProtection="1">
      <alignment horizontal="center"/>
    </xf>
    <xf numFmtId="0" fontId="0" fillId="0" borderId="0" xfId="0" applyFill="1" applyAlignment="1" applyProtection="1">
      <alignment horizontal="left"/>
    </xf>
    <xf numFmtId="0" fontId="13" fillId="0" borderId="0" xfId="0" applyFont="1" applyBorder="1" applyAlignment="1" applyProtection="1">
      <alignment horizontal="left"/>
    </xf>
    <xf numFmtId="2" fontId="0" fillId="0" borderId="2" xfId="0" applyNumberFormat="1" applyFill="1" applyBorder="1" applyAlignment="1" applyProtection="1">
      <alignment horizontal="center"/>
    </xf>
    <xf numFmtId="0" fontId="20" fillId="0" borderId="0" xfId="0" applyFont="1" applyFill="1" applyBorder="1" applyAlignment="1" applyProtection="1">
      <alignment horizontal="left" vertical="center"/>
    </xf>
    <xf numFmtId="9" fontId="25" fillId="0" borderId="2" xfId="7" applyFont="1" applyFill="1" applyBorder="1" applyAlignment="1" applyProtection="1">
      <alignment horizontal="center"/>
    </xf>
    <xf numFmtId="0" fontId="0" fillId="0" borderId="0" xfId="0" applyFill="1" applyBorder="1" applyAlignment="1" applyProtection="1">
      <alignment horizontal="left"/>
    </xf>
    <xf numFmtId="9" fontId="25" fillId="0" borderId="0" xfId="7" applyFont="1" applyFill="1" applyBorder="1" applyAlignment="1" applyProtection="1">
      <alignment horizontal="center"/>
    </xf>
    <xf numFmtId="0" fontId="0" fillId="0" borderId="0" xfId="0" applyFill="1" applyBorder="1" applyAlignment="1" applyProtection="1">
      <alignment horizontal="right"/>
    </xf>
    <xf numFmtId="0" fontId="7" fillId="0" borderId="0" xfId="0" applyFont="1" applyFill="1" applyBorder="1" applyAlignment="1" applyProtection="1">
      <alignment horizontal="center"/>
    </xf>
    <xf numFmtId="0" fontId="0" fillId="0" borderId="4" xfId="0" applyFill="1" applyBorder="1" applyAlignment="1" applyProtection="1">
      <alignment horizontal="center"/>
    </xf>
    <xf numFmtId="0" fontId="7" fillId="0" borderId="0" xfId="0" applyFont="1" applyBorder="1" applyAlignment="1" applyProtection="1">
      <alignment horizontal="left"/>
    </xf>
    <xf numFmtId="0" fontId="20" fillId="0" borderId="5" xfId="0" applyFont="1" applyFill="1" applyBorder="1" applyAlignment="1" applyProtection="1">
      <alignment horizontal="left" vertical="center"/>
    </xf>
    <xf numFmtId="0" fontId="13" fillId="0" borderId="0" xfId="0" applyFont="1" applyBorder="1" applyAlignment="1" applyProtection="1">
      <alignment horizontal="center"/>
    </xf>
    <xf numFmtId="0" fontId="19" fillId="0" borderId="0" xfId="0" applyFont="1" applyBorder="1" applyAlignment="1" applyProtection="1">
      <alignment horizontal="right"/>
    </xf>
    <xf numFmtId="0" fontId="0" fillId="0" borderId="5" xfId="0" applyFill="1" applyBorder="1" applyAlignment="1" applyProtection="1">
      <alignment horizontal="center"/>
    </xf>
    <xf numFmtId="0" fontId="3" fillId="0" borderId="0" xfId="0" applyFont="1" applyBorder="1" applyAlignment="1" applyProtection="1">
      <alignment horizontal="left"/>
    </xf>
    <xf numFmtId="0" fontId="23" fillId="0" borderId="0" xfId="0" applyFont="1" applyFill="1" applyBorder="1" applyAlignment="1" applyProtection="1"/>
    <xf numFmtId="0" fontId="9" fillId="0" borderId="0" xfId="0" applyFont="1" applyFill="1" applyBorder="1" applyAlignment="1" applyProtection="1">
      <alignment horizontal="right"/>
    </xf>
    <xf numFmtId="0" fontId="0" fillId="0" borderId="0" xfId="0" applyFill="1" applyBorder="1" applyProtection="1"/>
    <xf numFmtId="0" fontId="0" fillId="0" borderId="6" xfId="0" applyFill="1" applyBorder="1" applyAlignment="1" applyProtection="1">
      <alignment horizontal="center"/>
    </xf>
    <xf numFmtId="0" fontId="28" fillId="0" borderId="0" xfId="0" applyFont="1" applyFill="1" applyBorder="1" applyAlignment="1" applyProtection="1">
      <alignment horizontal="left"/>
    </xf>
    <xf numFmtId="0" fontId="19" fillId="0" borderId="0" xfId="0" applyFont="1" applyFill="1" applyBorder="1" applyAlignment="1" applyProtection="1">
      <alignment horizontal="left"/>
    </xf>
    <xf numFmtId="0" fontId="0" fillId="0" borderId="6" xfId="0" applyFill="1" applyBorder="1" applyAlignment="1" applyProtection="1">
      <alignment horizontal="left"/>
    </xf>
    <xf numFmtId="0" fontId="7" fillId="0" borderId="0" xfId="0" applyFont="1" applyFill="1" applyBorder="1" applyAlignment="1" applyProtection="1">
      <alignment horizontal="right"/>
    </xf>
    <xf numFmtId="0" fontId="0" fillId="2" borderId="0" xfId="0" applyFill="1" applyAlignment="1" applyProtection="1">
      <alignment horizontal="left"/>
    </xf>
    <xf numFmtId="0" fontId="0" fillId="2" borderId="0" xfId="0" applyFill="1" applyBorder="1" applyAlignment="1" applyProtection="1">
      <alignment horizontal="center"/>
    </xf>
    <xf numFmtId="0" fontId="7" fillId="2" borderId="0" xfId="0" applyFont="1" applyFill="1" applyBorder="1" applyAlignment="1" applyProtection="1">
      <alignment horizontal="center"/>
    </xf>
    <xf numFmtId="0" fontId="13" fillId="2" borderId="0" xfId="0" applyFont="1" applyFill="1" applyBorder="1" applyAlignment="1" applyProtection="1">
      <alignment horizontal="center"/>
    </xf>
    <xf numFmtId="0" fontId="0" fillId="2" borderId="0" xfId="0" applyFill="1" applyAlignment="1" applyProtection="1">
      <alignment horizontal="center"/>
    </xf>
    <xf numFmtId="0" fontId="0" fillId="2" borderId="0" xfId="0" applyFill="1" applyProtection="1"/>
    <xf numFmtId="0" fontId="0" fillId="2" borderId="0" xfId="0" applyFill="1" applyBorder="1" applyAlignment="1" applyProtection="1">
      <alignment horizontal="left"/>
    </xf>
    <xf numFmtId="0" fontId="19" fillId="2" borderId="0" xfId="0" applyFont="1" applyFill="1" applyProtection="1"/>
    <xf numFmtId="2" fontId="0" fillId="2" borderId="0" xfId="0" applyNumberFormat="1" applyFill="1" applyBorder="1" applyAlignment="1" applyProtection="1">
      <alignment horizontal="center"/>
    </xf>
    <xf numFmtId="0" fontId="28" fillId="2" borderId="0" xfId="0" applyFont="1" applyFill="1" applyAlignment="1" applyProtection="1">
      <alignment horizontal="left"/>
    </xf>
    <xf numFmtId="0" fontId="0" fillId="2" borderId="0" xfId="0" applyFill="1" applyAlignment="1" applyProtection="1">
      <alignment horizontal="right"/>
    </xf>
    <xf numFmtId="0" fontId="0" fillId="2" borderId="0" xfId="0" quotePrefix="1" applyFill="1" applyBorder="1" applyAlignment="1" applyProtection="1">
      <alignment horizontal="center"/>
    </xf>
    <xf numFmtId="9" fontId="0" fillId="2" borderId="0" xfId="0" applyNumberFormat="1" applyFill="1" applyBorder="1" applyAlignment="1" applyProtection="1">
      <alignment horizontal="center"/>
    </xf>
    <xf numFmtId="0" fontId="68" fillId="2" borderId="0" xfId="0" applyFont="1" applyFill="1" applyAlignment="1" applyProtection="1">
      <alignment horizontal="left"/>
    </xf>
    <xf numFmtId="0" fontId="0" fillId="0" borderId="0" xfId="0" applyFill="1" applyBorder="1" applyAlignment="1" applyProtection="1"/>
    <xf numFmtId="0" fontId="0" fillId="0" borderId="35" xfId="0" applyBorder="1" applyAlignment="1" applyProtection="1">
      <alignment horizontal="left"/>
    </xf>
    <xf numFmtId="0" fontId="0" fillId="0" borderId="35" xfId="0" applyBorder="1" applyAlignment="1" applyProtection="1">
      <alignment horizontal="right"/>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37" xfId="0" applyBorder="1" applyAlignment="1" applyProtection="1"/>
    <xf numFmtId="0" fontId="0" fillId="0" borderId="37" xfId="0" applyBorder="1" applyAlignment="1" applyProtection="1">
      <alignment horizontal="center"/>
    </xf>
    <xf numFmtId="0" fontId="0" fillId="0" borderId="38" xfId="0" applyBorder="1" applyAlignment="1" applyProtection="1">
      <alignment horizontal="left"/>
    </xf>
    <xf numFmtId="0" fontId="0" fillId="0" borderId="39" xfId="0" applyBorder="1" applyAlignment="1" applyProtection="1">
      <alignment horizontal="left"/>
    </xf>
    <xf numFmtId="0" fontId="7" fillId="0" borderId="0" xfId="0" applyFont="1" applyBorder="1" applyAlignment="1" applyProtection="1">
      <alignment horizontal="right"/>
    </xf>
    <xf numFmtId="0" fontId="0" fillId="0" borderId="35" xfId="0" applyFill="1" applyBorder="1" applyAlignment="1" applyProtection="1">
      <alignment horizontal="center"/>
    </xf>
    <xf numFmtId="0" fontId="0" fillId="0" borderId="35" xfId="0" quotePrefix="1" applyFill="1" applyBorder="1" applyAlignment="1" applyProtection="1">
      <alignment horizontal="center"/>
    </xf>
    <xf numFmtId="9" fontId="0" fillId="0" borderId="35" xfId="0" applyNumberFormat="1" applyFill="1" applyBorder="1" applyAlignment="1" applyProtection="1">
      <alignment horizontal="center"/>
    </xf>
    <xf numFmtId="0" fontId="0" fillId="0" borderId="35" xfId="0" applyFill="1" applyBorder="1" applyAlignment="1" applyProtection="1">
      <alignment horizontal="left"/>
    </xf>
    <xf numFmtId="0" fontId="0" fillId="0" borderId="35" xfId="0" applyFill="1" applyBorder="1" applyAlignment="1" applyProtection="1">
      <alignment horizontal="right"/>
    </xf>
    <xf numFmtId="0" fontId="30" fillId="0" borderId="0" xfId="0" applyFont="1" applyBorder="1" applyAlignment="1" applyProtection="1">
      <alignment horizontal="left"/>
    </xf>
    <xf numFmtId="0" fontId="11" fillId="0" borderId="0" xfId="0" applyFont="1" applyBorder="1" applyAlignment="1" applyProtection="1">
      <alignment horizontal="left"/>
    </xf>
    <xf numFmtId="0" fontId="0" fillId="0" borderId="40" xfId="0" applyBorder="1" applyAlignment="1" applyProtection="1">
      <alignment horizontal="left"/>
    </xf>
    <xf numFmtId="0" fontId="0" fillId="0" borderId="41" xfId="0" applyBorder="1" applyAlignment="1" applyProtection="1">
      <alignment horizontal="left"/>
    </xf>
    <xf numFmtId="0" fontId="0" fillId="0" borderId="42" xfId="0" applyBorder="1" applyAlignment="1" applyProtection="1">
      <alignment horizontal="left"/>
    </xf>
    <xf numFmtId="0" fontId="19" fillId="0" borderId="39" xfId="0" applyFont="1" applyBorder="1" applyAlignment="1" applyProtection="1">
      <alignment horizontal="center"/>
    </xf>
    <xf numFmtId="2" fontId="21" fillId="0" borderId="0" xfId="0" applyNumberFormat="1" applyFont="1" applyBorder="1" applyAlignment="1" applyProtection="1">
      <alignment horizontal="center"/>
    </xf>
    <xf numFmtId="2" fontId="3" fillId="0" borderId="0" xfId="0" applyNumberFormat="1" applyFont="1" applyBorder="1" applyAlignment="1" applyProtection="1">
      <alignment horizontal="center"/>
    </xf>
    <xf numFmtId="2" fontId="3" fillId="0" borderId="0" xfId="0" applyNumberFormat="1" applyFont="1" applyBorder="1" applyAlignment="1" applyProtection="1">
      <alignment horizontal="right"/>
    </xf>
    <xf numFmtId="0" fontId="0" fillId="0" borderId="39" xfId="0" applyBorder="1" applyProtection="1"/>
    <xf numFmtId="0" fontId="25" fillId="0" borderId="39" xfId="0" applyFont="1" applyBorder="1" applyProtection="1"/>
    <xf numFmtId="2" fontId="6" fillId="0" borderId="0" xfId="0" applyNumberFormat="1" applyFont="1" applyBorder="1" applyAlignment="1" applyProtection="1">
      <alignment horizontal="center"/>
    </xf>
    <xf numFmtId="1" fontId="0" fillId="0" borderId="2" xfId="0" applyNumberFormat="1" applyBorder="1" applyAlignment="1" applyProtection="1">
      <alignment horizontal="center"/>
    </xf>
    <xf numFmtId="2" fontId="21" fillId="0" borderId="7" xfId="0" applyNumberFormat="1" applyFont="1" applyBorder="1" applyAlignment="1" applyProtection="1">
      <alignment horizontal="center"/>
    </xf>
    <xf numFmtId="0" fontId="0" fillId="3" borderId="2" xfId="0" applyFill="1" applyBorder="1" applyAlignment="1" applyProtection="1">
      <alignment horizontal="center"/>
      <protection locked="0"/>
    </xf>
    <xf numFmtId="2" fontId="0" fillId="3" borderId="2" xfId="0" applyNumberFormat="1" applyFill="1" applyBorder="1" applyAlignment="1" applyProtection="1">
      <alignment horizontal="center"/>
      <protection locked="0"/>
    </xf>
    <xf numFmtId="0" fontId="0" fillId="0" borderId="8" xfId="0" applyFill="1" applyBorder="1" applyAlignment="1" applyProtection="1">
      <alignment horizontal="left"/>
    </xf>
    <xf numFmtId="0" fontId="20" fillId="0" borderId="0" xfId="0" applyFont="1" applyFill="1" applyBorder="1" applyAlignment="1" applyProtection="1">
      <alignment horizontal="right"/>
    </xf>
    <xf numFmtId="0" fontId="0" fillId="0" borderId="5" xfId="0" applyFill="1" applyBorder="1" applyAlignment="1" applyProtection="1">
      <alignment horizontal="left"/>
    </xf>
    <xf numFmtId="0" fontId="27"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9" fillId="0" borderId="0" xfId="0" applyFont="1" applyFill="1" applyBorder="1" applyAlignment="1" applyProtection="1">
      <alignment horizontal="right"/>
    </xf>
    <xf numFmtId="0" fontId="19" fillId="0" borderId="0" xfId="0" applyFont="1" applyFill="1" applyBorder="1" applyProtection="1"/>
    <xf numFmtId="0" fontId="0" fillId="0" borderId="5" xfId="0" applyFill="1" applyBorder="1" applyProtection="1"/>
    <xf numFmtId="0" fontId="5" fillId="0" borderId="0" xfId="0" applyFont="1" applyFill="1" applyBorder="1" applyAlignment="1" applyProtection="1">
      <alignment horizontal="left"/>
    </xf>
    <xf numFmtId="0" fontId="0" fillId="0" borderId="9" xfId="0" applyFill="1" applyBorder="1" applyAlignment="1" applyProtection="1">
      <alignment horizontal="left"/>
    </xf>
    <xf numFmtId="0" fontId="26"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0" fillId="0" borderId="0" xfId="0" applyFill="1" applyBorder="1" applyAlignment="1" applyProtection="1">
      <alignment horizontal="right" vertical="center"/>
    </xf>
    <xf numFmtId="0" fontId="0" fillId="0" borderId="0" xfId="0" applyFill="1" applyBorder="1" applyAlignment="1" applyProtection="1">
      <alignment horizontal="left" vertical="center"/>
    </xf>
    <xf numFmtId="164" fontId="0" fillId="0" borderId="2" xfId="0" applyNumberFormat="1" applyFill="1" applyBorder="1" applyAlignment="1" applyProtection="1">
      <alignment horizontal="left"/>
    </xf>
    <xf numFmtId="0" fontId="6" fillId="0" borderId="0" xfId="0" applyFont="1" applyFill="1" applyBorder="1" applyAlignment="1" applyProtection="1">
      <alignment horizontal="left"/>
    </xf>
    <xf numFmtId="0" fontId="0" fillId="0" borderId="10" xfId="0" applyFill="1" applyBorder="1" applyAlignment="1" applyProtection="1">
      <alignment horizontal="center"/>
    </xf>
    <xf numFmtId="0" fontId="12" fillId="0" borderId="0" xfId="0" applyFont="1" applyBorder="1" applyAlignment="1" applyProtection="1">
      <alignment horizontal="left"/>
    </xf>
    <xf numFmtId="0" fontId="69" fillId="0" borderId="0" xfId="0" applyFont="1" applyBorder="1" applyAlignment="1" applyProtection="1">
      <alignment horizontal="left"/>
    </xf>
    <xf numFmtId="0" fontId="34" fillId="0" borderId="0" xfId="0" applyFont="1" applyFill="1" applyBorder="1" applyAlignment="1" applyProtection="1">
      <alignment horizontal="left" vertical="center"/>
    </xf>
    <xf numFmtId="0" fontId="0" fillId="0" borderId="43" xfId="0" applyFill="1" applyBorder="1" applyAlignment="1" applyProtection="1">
      <alignment horizontal="left"/>
    </xf>
    <xf numFmtId="0" fontId="0" fillId="0" borderId="44" xfId="0" applyFill="1" applyBorder="1" applyAlignment="1" applyProtection="1">
      <alignment horizontal="left"/>
    </xf>
    <xf numFmtId="0" fontId="3" fillId="0" borderId="0" xfId="0" applyFont="1" applyFill="1" applyBorder="1" applyAlignment="1" applyProtection="1">
      <alignment horizontal="center"/>
    </xf>
    <xf numFmtId="2" fontId="69" fillId="0" borderId="0" xfId="0" quotePrefix="1" applyNumberFormat="1" applyFont="1" applyBorder="1" applyAlignment="1" applyProtection="1">
      <alignment horizontal="center"/>
    </xf>
    <xf numFmtId="0" fontId="10" fillId="0" borderId="0" xfId="0" applyFont="1" applyBorder="1" applyAlignment="1" applyProtection="1">
      <alignment horizontal="center"/>
    </xf>
    <xf numFmtId="0" fontId="0" fillId="0" borderId="45" xfId="0" applyBorder="1" applyProtection="1"/>
    <xf numFmtId="0" fontId="0" fillId="0" borderId="46" xfId="0" applyBorder="1" applyProtection="1"/>
    <xf numFmtId="0" fontId="0" fillId="0" borderId="47" xfId="0" applyBorder="1" applyProtection="1"/>
    <xf numFmtId="0" fontId="0" fillId="0" borderId="48" xfId="0" applyBorder="1" applyProtection="1"/>
    <xf numFmtId="0" fontId="0" fillId="0" borderId="49" xfId="0" applyBorder="1" applyProtection="1"/>
    <xf numFmtId="0" fontId="0" fillId="0" borderId="50" xfId="0" applyBorder="1" applyProtection="1"/>
    <xf numFmtId="0" fontId="20" fillId="0" borderId="11" xfId="0" applyFont="1" applyFill="1" applyBorder="1" applyAlignment="1" applyProtection="1">
      <alignment horizontal="left" vertical="center"/>
    </xf>
    <xf numFmtId="0" fontId="3" fillId="0" borderId="8" xfId="0" applyFont="1" applyFill="1" applyBorder="1" applyAlignment="1" applyProtection="1"/>
    <xf numFmtId="0" fontId="0" fillId="0" borderId="8" xfId="0" applyFill="1" applyBorder="1" applyAlignment="1" applyProtection="1">
      <alignment horizontal="right"/>
    </xf>
    <xf numFmtId="165" fontId="0" fillId="0" borderId="0" xfId="1" applyNumberFormat="1" applyFont="1" applyFill="1" applyBorder="1" applyAlignment="1" applyProtection="1">
      <alignment horizontal="center"/>
    </xf>
    <xf numFmtId="165" fontId="0" fillId="0" borderId="3" xfId="1" applyNumberFormat="1" applyFont="1" applyFill="1" applyBorder="1" applyAlignment="1" applyProtection="1">
      <alignment horizontal="center"/>
    </xf>
    <xf numFmtId="0" fontId="5" fillId="0" borderId="5" xfId="0" applyFont="1" applyFill="1" applyBorder="1" applyAlignment="1" applyProtection="1">
      <alignment horizontal="left" vertical="center"/>
    </xf>
    <xf numFmtId="0" fontId="34" fillId="0" borderId="0" xfId="0" applyFont="1" applyFill="1" applyBorder="1" applyAlignment="1" applyProtection="1">
      <alignment vertical="center"/>
    </xf>
    <xf numFmtId="0" fontId="0" fillId="4" borderId="0" xfId="0" applyFill="1" applyProtection="1"/>
    <xf numFmtId="0" fontId="0" fillId="4" borderId="0" xfId="0" applyFill="1" applyBorder="1" applyProtection="1"/>
    <xf numFmtId="2" fontId="70" fillId="4" borderId="0" xfId="0" applyNumberFormat="1" applyFont="1" applyFill="1" applyBorder="1" applyAlignment="1" applyProtection="1">
      <alignment horizontal="center" vertical="center"/>
    </xf>
    <xf numFmtId="0" fontId="0" fillId="0" borderId="40" xfId="0" applyBorder="1" applyProtection="1"/>
    <xf numFmtId="0" fontId="0" fillId="0" borderId="41" xfId="0" applyBorder="1" applyProtection="1"/>
    <xf numFmtId="0" fontId="0" fillId="0" borderId="42" xfId="0" applyBorder="1" applyProtection="1"/>
    <xf numFmtId="0" fontId="5" fillId="0" borderId="0" xfId="0" applyFont="1" applyAlignment="1" applyProtection="1">
      <alignment horizontal="left"/>
    </xf>
    <xf numFmtId="0" fontId="9" fillId="0" borderId="0" xfId="0" applyFont="1" applyBorder="1" applyAlignment="1" applyProtection="1">
      <alignment horizontal="left"/>
    </xf>
    <xf numFmtId="0" fontId="68" fillId="0" borderId="36" xfId="0" applyFont="1" applyFill="1" applyBorder="1" applyAlignment="1" applyProtection="1">
      <alignment horizontal="left"/>
    </xf>
    <xf numFmtId="0" fontId="68" fillId="0" borderId="37" xfId="0" applyFont="1" applyFill="1" applyBorder="1" applyAlignment="1" applyProtection="1">
      <alignment horizontal="left"/>
    </xf>
    <xf numFmtId="0" fontId="68" fillId="0" borderId="38" xfId="0" applyFont="1" applyFill="1" applyBorder="1" applyAlignment="1" applyProtection="1">
      <alignment horizontal="left"/>
    </xf>
    <xf numFmtId="0" fontId="0" fillId="0" borderId="7" xfId="0" applyBorder="1" applyAlignment="1" applyProtection="1">
      <alignment horizontal="left"/>
    </xf>
    <xf numFmtId="0" fontId="3" fillId="0" borderId="7" xfId="0" applyFont="1" applyBorder="1" applyAlignment="1" applyProtection="1">
      <alignment horizontal="center"/>
    </xf>
    <xf numFmtId="2" fontId="69" fillId="0" borderId="7" xfId="0" quotePrefix="1" applyNumberFormat="1" applyFont="1" applyBorder="1" applyAlignment="1" applyProtection="1">
      <alignment horizontal="center"/>
    </xf>
    <xf numFmtId="0" fontId="3" fillId="0" borderId="7" xfId="0" applyFont="1" applyFill="1" applyBorder="1" applyAlignment="1" applyProtection="1">
      <alignment horizontal="center"/>
    </xf>
    <xf numFmtId="0" fontId="5" fillId="0" borderId="7" xfId="0" applyFont="1" applyBorder="1" applyAlignment="1" applyProtection="1">
      <alignment horizontal="left"/>
    </xf>
    <xf numFmtId="0" fontId="0" fillId="0" borderId="7" xfId="0" applyBorder="1" applyAlignment="1" applyProtection="1">
      <alignment horizontal="center"/>
    </xf>
    <xf numFmtId="0" fontId="0" fillId="0" borderId="1" xfId="0" applyBorder="1" applyAlignment="1" applyProtection="1">
      <alignment horizontal="left"/>
    </xf>
    <xf numFmtId="0" fontId="0" fillId="0" borderId="1" xfId="0" applyBorder="1" applyAlignment="1" applyProtection="1">
      <alignment horizontal="center"/>
    </xf>
    <xf numFmtId="0" fontId="5" fillId="0" borderId="0" xfId="0" applyFont="1" applyBorder="1" applyAlignment="1" applyProtection="1">
      <alignment horizontal="center"/>
    </xf>
    <xf numFmtId="2" fontId="20" fillId="0" borderId="0" xfId="0" applyNumberFormat="1" applyFont="1" applyBorder="1" applyAlignment="1" applyProtection="1">
      <alignment horizontal="center"/>
    </xf>
    <xf numFmtId="1" fontId="0" fillId="3" borderId="2" xfId="0" applyNumberFormat="1" applyFill="1" applyBorder="1" applyAlignment="1" applyProtection="1">
      <alignment horizontal="center"/>
      <protection locked="0"/>
    </xf>
    <xf numFmtId="0" fontId="71" fillId="0" borderId="0" xfId="0" applyFont="1" applyFill="1" applyBorder="1" applyAlignment="1" applyProtection="1">
      <alignment horizontal="left"/>
    </xf>
    <xf numFmtId="0" fontId="3" fillId="5" borderId="0" xfId="0" applyFont="1" applyFill="1" applyBorder="1" applyAlignment="1" applyProtection="1">
      <alignment horizontal="center"/>
    </xf>
    <xf numFmtId="0" fontId="3" fillId="5" borderId="1" xfId="0" applyFont="1" applyFill="1" applyBorder="1" applyAlignment="1" applyProtection="1">
      <alignment horizontal="center"/>
    </xf>
    <xf numFmtId="0" fontId="7" fillId="5" borderId="0" xfId="0" applyFont="1" applyFill="1" applyBorder="1" applyAlignment="1" applyProtection="1">
      <alignment horizontal="center"/>
    </xf>
    <xf numFmtId="0" fontId="3" fillId="0" borderId="0" xfId="0" applyFont="1" applyFill="1" applyProtection="1"/>
    <xf numFmtId="0" fontId="19" fillId="0" borderId="7" xfId="0" applyFont="1" applyBorder="1" applyAlignment="1" applyProtection="1">
      <alignment horizontal="right"/>
    </xf>
    <xf numFmtId="0" fontId="7" fillId="0" borderId="7" xfId="0" applyFont="1" applyBorder="1" applyAlignment="1" applyProtection="1">
      <alignment horizontal="right"/>
    </xf>
    <xf numFmtId="0" fontId="3" fillId="0" borderId="0" xfId="0" applyFont="1" applyProtection="1"/>
    <xf numFmtId="0" fontId="13" fillId="0" borderId="7" xfId="0" applyFont="1" applyBorder="1" applyAlignment="1" applyProtection="1">
      <alignment horizontal="left"/>
    </xf>
    <xf numFmtId="0" fontId="2" fillId="0" borderId="0" xfId="3" applyBorder="1" applyAlignment="1" applyProtection="1">
      <alignment horizontal="left"/>
      <protection locked="0"/>
    </xf>
    <xf numFmtId="167" fontId="0" fillId="0" borderId="0" xfId="0" applyNumberFormat="1" applyFill="1" applyBorder="1" applyAlignment="1" applyProtection="1"/>
    <xf numFmtId="0" fontId="72" fillId="0" borderId="12" xfId="0" applyFont="1" applyBorder="1" applyAlignment="1" applyProtection="1">
      <alignment textRotation="180"/>
    </xf>
    <xf numFmtId="0" fontId="72" fillId="0" borderId="0" xfId="0" applyFont="1" applyBorder="1" applyAlignment="1" applyProtection="1">
      <alignment textRotation="180"/>
    </xf>
    <xf numFmtId="0" fontId="2" fillId="0" borderId="0" xfId="3" applyBorder="1" applyAlignment="1" applyProtection="1"/>
    <xf numFmtId="0" fontId="41" fillId="0" borderId="0" xfId="0" applyFont="1" applyFill="1" applyBorder="1" applyAlignment="1" applyProtection="1">
      <alignment horizontal="right"/>
    </xf>
    <xf numFmtId="0" fontId="42" fillId="0" borderId="0" xfId="0" applyFont="1" applyBorder="1" applyAlignment="1" applyProtection="1">
      <alignment horizontal="left"/>
    </xf>
    <xf numFmtId="0" fontId="42" fillId="0" borderId="0" xfId="0" applyFont="1" applyFill="1" applyBorder="1" applyAlignment="1" applyProtection="1">
      <alignment horizontal="left"/>
    </xf>
    <xf numFmtId="0" fontId="9" fillId="0" borderId="0" xfId="0" applyFont="1" applyBorder="1" applyAlignment="1" applyProtection="1">
      <alignment horizontal="center"/>
    </xf>
    <xf numFmtId="0" fontId="9" fillId="0" borderId="7" xfId="0" applyFont="1" applyBorder="1" applyAlignment="1" applyProtection="1">
      <alignment horizontal="center"/>
    </xf>
    <xf numFmtId="0" fontId="13" fillId="0" borderId="0" xfId="0" applyFont="1" applyBorder="1" applyAlignment="1" applyProtection="1">
      <alignment horizontal="right"/>
    </xf>
    <xf numFmtId="0" fontId="73" fillId="0" borderId="0" xfId="0" applyFont="1" applyBorder="1" applyAlignment="1" applyProtection="1">
      <alignment wrapText="1"/>
    </xf>
    <xf numFmtId="0" fontId="3" fillId="0" borderId="0" xfId="0" applyFont="1" applyAlignment="1" applyProtection="1">
      <alignment vertical="center"/>
    </xf>
    <xf numFmtId="0" fontId="0" fillId="0" borderId="0" xfId="0" applyBorder="1" applyAlignment="1" applyProtection="1">
      <alignment horizontal="left" vertical="center"/>
    </xf>
    <xf numFmtId="0" fontId="3" fillId="0" borderId="0" xfId="0" applyFont="1" applyBorder="1" applyAlignment="1" applyProtection="1">
      <alignment horizontal="left" vertical="center"/>
    </xf>
    <xf numFmtId="0" fontId="73" fillId="0" borderId="0" xfId="0" applyFont="1" applyBorder="1" applyAlignment="1" applyProtection="1"/>
    <xf numFmtId="0" fontId="74" fillId="0" borderId="0" xfId="0" applyFont="1" applyBorder="1" applyAlignment="1" applyProtection="1">
      <alignment vertical="top" wrapText="1"/>
    </xf>
    <xf numFmtId="0" fontId="74" fillId="0" borderId="35" xfId="0" applyFont="1" applyBorder="1" applyAlignment="1" applyProtection="1">
      <alignment vertical="top" wrapText="1"/>
    </xf>
    <xf numFmtId="0" fontId="5" fillId="0" borderId="0" xfId="0" applyFont="1" applyFill="1" applyBorder="1" applyAlignment="1" applyProtection="1">
      <alignment horizontal="right" vertical="center"/>
    </xf>
    <xf numFmtId="0" fontId="5" fillId="4" borderId="0" xfId="5" applyFill="1" applyProtection="1"/>
    <xf numFmtId="0" fontId="5" fillId="0" borderId="10" xfId="5" applyFill="1" applyBorder="1" applyProtection="1"/>
    <xf numFmtId="0" fontId="5" fillId="0" borderId="6" xfId="5" applyFill="1" applyBorder="1" applyProtection="1"/>
    <xf numFmtId="0" fontId="5" fillId="0" borderId="6" xfId="5" applyFill="1" applyBorder="1" applyAlignment="1" applyProtection="1">
      <alignment horizontal="left"/>
    </xf>
    <xf numFmtId="0" fontId="5" fillId="0" borderId="9" xfId="5" applyFill="1" applyBorder="1" applyAlignment="1" applyProtection="1">
      <alignment horizontal="left"/>
    </xf>
    <xf numFmtId="0" fontId="5" fillId="0" borderId="0" xfId="5" applyFill="1" applyBorder="1" applyProtection="1"/>
    <xf numFmtId="0" fontId="5" fillId="6" borderId="0" xfId="5" applyFill="1" applyBorder="1" applyProtection="1"/>
    <xf numFmtId="0" fontId="5" fillId="6" borderId="0" xfId="5" applyFill="1" applyBorder="1" applyAlignment="1" applyProtection="1">
      <alignment horizontal="left"/>
    </xf>
    <xf numFmtId="0" fontId="5" fillId="0" borderId="0" xfId="5" applyFill="1" applyBorder="1" applyAlignment="1" applyProtection="1">
      <alignment horizontal="left"/>
    </xf>
    <xf numFmtId="0" fontId="5" fillId="0" borderId="0" xfId="5" applyFill="1" applyBorder="1" applyAlignment="1" applyProtection="1">
      <alignment horizontal="center"/>
    </xf>
    <xf numFmtId="0" fontId="24" fillId="0" borderId="5" xfId="5" applyFont="1" applyFill="1" applyBorder="1" applyAlignment="1" applyProtection="1">
      <alignment vertical="top" wrapText="1"/>
    </xf>
    <xf numFmtId="0" fontId="5" fillId="0" borderId="8" xfId="5" applyFill="1" applyBorder="1" applyAlignment="1" applyProtection="1">
      <alignment horizontal="left"/>
    </xf>
    <xf numFmtId="0" fontId="22" fillId="0" borderId="0" xfId="5" applyFont="1" applyFill="1" applyBorder="1" applyAlignment="1" applyProtection="1">
      <alignment horizontal="center" vertical="top" wrapText="1"/>
    </xf>
    <xf numFmtId="0" fontId="32" fillId="0" borderId="0" xfId="5" applyFont="1" applyFill="1" applyBorder="1" applyAlignment="1" applyProtection="1">
      <alignment vertical="top" wrapText="1"/>
    </xf>
    <xf numFmtId="0" fontId="9" fillId="0" borderId="0" xfId="5" applyFont="1" applyFill="1" applyBorder="1" applyAlignment="1" applyProtection="1">
      <alignment horizontal="left"/>
    </xf>
    <xf numFmtId="0" fontId="5" fillId="3" borderId="2" xfId="5" applyFill="1" applyBorder="1" applyAlignment="1" applyProtection="1">
      <alignment horizontal="center"/>
      <protection locked="0"/>
    </xf>
    <xf numFmtId="0" fontId="5" fillId="0" borderId="13" xfId="5" applyFill="1" applyBorder="1" applyAlignment="1" applyProtection="1">
      <alignment horizontal="left"/>
    </xf>
    <xf numFmtId="0" fontId="5" fillId="0" borderId="14" xfId="5" applyFill="1" applyBorder="1" applyAlignment="1" applyProtection="1">
      <alignment horizontal="left"/>
    </xf>
    <xf numFmtId="0" fontId="1" fillId="0" borderId="15" xfId="0" applyFont="1" applyBorder="1" applyAlignment="1" applyProtection="1">
      <alignment horizontal="left"/>
    </xf>
    <xf numFmtId="0" fontId="1" fillId="0" borderId="15" xfId="0" applyFont="1" applyFill="1" applyBorder="1" applyAlignment="1" applyProtection="1">
      <alignment horizontal="left"/>
    </xf>
    <xf numFmtId="0" fontId="9" fillId="6" borderId="0" xfId="5" applyFont="1" applyFill="1" applyBorder="1" applyAlignment="1" applyProtection="1">
      <alignment horizontal="left"/>
    </xf>
    <xf numFmtId="0" fontId="31" fillId="6" borderId="0" xfId="5" applyFont="1" applyFill="1" applyBorder="1" applyAlignment="1" applyProtection="1">
      <alignment horizontal="right" vertical="top"/>
    </xf>
    <xf numFmtId="9" fontId="24" fillId="6" borderId="0" xfId="7" applyFont="1" applyFill="1" applyBorder="1" applyAlignment="1" applyProtection="1">
      <alignment horizontal="left"/>
    </xf>
    <xf numFmtId="0" fontId="5" fillId="6" borderId="0" xfId="5" applyFill="1" applyBorder="1" applyAlignment="1" applyProtection="1">
      <alignment horizontal="right" vertical="center"/>
    </xf>
    <xf numFmtId="0" fontId="9" fillId="6" borderId="0" xfId="5" quotePrefix="1" applyFont="1" applyFill="1" applyBorder="1" applyAlignment="1" applyProtection="1">
      <alignment vertical="center"/>
    </xf>
    <xf numFmtId="0" fontId="5" fillId="6" borderId="8" xfId="5" applyFill="1" applyBorder="1" applyAlignment="1" applyProtection="1">
      <alignment horizontal="left"/>
    </xf>
    <xf numFmtId="0" fontId="31" fillId="0" borderId="8" xfId="5" applyFont="1" applyFill="1" applyBorder="1" applyAlignment="1" applyProtection="1">
      <alignment horizontal="right" vertical="top"/>
    </xf>
    <xf numFmtId="0" fontId="5" fillId="0" borderId="5" xfId="5" applyFill="1" applyBorder="1" applyAlignment="1" applyProtection="1">
      <alignment horizontal="right"/>
    </xf>
    <xf numFmtId="0" fontId="36" fillId="0" borderId="0" xfId="0" applyFont="1" applyFill="1" applyBorder="1" applyAlignment="1" applyProtection="1">
      <alignment vertical="center"/>
    </xf>
    <xf numFmtId="0" fontId="23" fillId="6" borderId="8" xfId="5" applyFont="1" applyFill="1" applyBorder="1" applyAlignment="1" applyProtection="1"/>
    <xf numFmtId="0" fontId="0" fillId="3" borderId="16" xfId="0" applyFill="1" applyBorder="1" applyAlignment="1" applyProtection="1">
      <alignment horizontal="center"/>
      <protection locked="0"/>
    </xf>
    <xf numFmtId="0" fontId="1" fillId="0" borderId="0" xfId="0" applyFont="1" applyBorder="1" applyAlignment="1" applyProtection="1">
      <alignment horizontal="left"/>
    </xf>
    <xf numFmtId="0" fontId="0" fillId="7" borderId="0" xfId="0" applyFill="1" applyProtection="1"/>
    <xf numFmtId="0" fontId="0" fillId="0" borderId="43" xfId="0" applyBorder="1" applyProtection="1"/>
    <xf numFmtId="0" fontId="27" fillId="0" borderId="0" xfId="0" applyFont="1" applyBorder="1" applyAlignment="1" applyProtection="1">
      <alignment horizontal="left"/>
    </xf>
    <xf numFmtId="0" fontId="0" fillId="0" borderId="44" xfId="0" applyBorder="1" applyAlignment="1" applyProtection="1">
      <alignment horizontal="left"/>
    </xf>
    <xf numFmtId="0" fontId="15" fillId="0" borderId="0" xfId="0" applyFont="1" applyBorder="1" applyAlignment="1" applyProtection="1">
      <alignment horizontal="left"/>
    </xf>
    <xf numFmtId="0" fontId="43" fillId="0" borderId="0" xfId="0" applyFont="1" applyBorder="1" applyAlignment="1" applyProtection="1">
      <alignment wrapText="1"/>
    </xf>
    <xf numFmtId="0" fontId="43" fillId="0" borderId="0" xfId="0" applyFont="1" applyBorder="1" applyAlignment="1" applyProtection="1">
      <alignment horizontal="center" wrapText="1"/>
    </xf>
    <xf numFmtId="0" fontId="45" fillId="0" borderId="3" xfId="0" applyFont="1" applyBorder="1" applyAlignment="1" applyProtection="1"/>
    <xf numFmtId="0" fontId="45" fillId="0" borderId="0" xfId="0" applyFont="1" applyBorder="1" applyAlignment="1" applyProtection="1"/>
    <xf numFmtId="0" fontId="28" fillId="0" borderId="44" xfId="0" applyFont="1" applyFill="1" applyBorder="1" applyProtection="1"/>
    <xf numFmtId="0" fontId="0" fillId="0" borderId="15" xfId="0" applyBorder="1" applyAlignment="1" applyProtection="1">
      <alignment horizontal="left"/>
    </xf>
    <xf numFmtId="0" fontId="1" fillId="0" borderId="44" xfId="0" applyFont="1" applyFill="1" applyBorder="1" applyProtection="1"/>
    <xf numFmtId="0" fontId="46" fillId="0" borderId="0" xfId="0" applyFont="1" applyBorder="1" applyAlignment="1" applyProtection="1">
      <alignment horizontal="right"/>
    </xf>
    <xf numFmtId="2" fontId="1" fillId="0" borderId="2" xfId="0" applyNumberFormat="1" applyFont="1" applyFill="1" applyBorder="1" applyAlignment="1" applyProtection="1">
      <alignment horizontal="center"/>
    </xf>
    <xf numFmtId="0" fontId="5" fillId="0" borderId="44" xfId="0" applyFont="1" applyFill="1" applyBorder="1" applyAlignment="1" applyProtection="1">
      <alignment horizontal="left"/>
    </xf>
    <xf numFmtId="2" fontId="1" fillId="0" borderId="0" xfId="0" applyNumberFormat="1" applyFont="1" applyFill="1" applyBorder="1" applyAlignment="1" applyProtection="1">
      <alignment horizontal="center"/>
    </xf>
    <xf numFmtId="0" fontId="0" fillId="0" borderId="44" xfId="0" applyBorder="1" applyProtection="1"/>
    <xf numFmtId="0" fontId="44" fillId="0" borderId="0" xfId="0" applyFont="1" applyBorder="1" applyAlignment="1" applyProtection="1">
      <alignment horizontal="left" wrapText="1"/>
    </xf>
    <xf numFmtId="0" fontId="0" fillId="0" borderId="15" xfId="0" applyBorder="1" applyProtection="1"/>
    <xf numFmtId="0" fontId="1" fillId="0" borderId="0" xfId="0" applyFont="1" applyFill="1" applyBorder="1" applyAlignment="1" applyProtection="1">
      <alignment horizontal="center"/>
    </xf>
    <xf numFmtId="0" fontId="16" fillId="0" borderId="0" xfId="0" applyFont="1" applyBorder="1" applyAlignment="1" applyProtection="1">
      <alignment horizontal="right"/>
    </xf>
    <xf numFmtId="1" fontId="3" fillId="0" borderId="0" xfId="0" applyNumberFormat="1" applyFont="1" applyBorder="1" applyAlignment="1" applyProtection="1">
      <alignment horizontal="center"/>
    </xf>
    <xf numFmtId="0" fontId="0" fillId="0" borderId="49" xfId="0" applyBorder="1" applyAlignment="1" applyProtection="1">
      <alignment horizontal="left"/>
    </xf>
    <xf numFmtId="0" fontId="0" fillId="0" borderId="50" xfId="0" applyBorder="1" applyAlignment="1" applyProtection="1">
      <alignment horizontal="left"/>
    </xf>
    <xf numFmtId="0" fontId="3" fillId="0" borderId="0" xfId="0" applyFont="1" applyBorder="1" applyAlignment="1" applyProtection="1">
      <alignment horizontal="right" vertical="center"/>
    </xf>
    <xf numFmtId="2" fontId="7" fillId="0" borderId="0" xfId="0" applyNumberFormat="1" applyFont="1" applyBorder="1" applyAlignment="1" applyProtection="1">
      <alignment horizontal="center" vertical="center"/>
    </xf>
    <xf numFmtId="0" fontId="0" fillId="6" borderId="0" xfId="0" applyFill="1" applyBorder="1" applyAlignment="1" applyProtection="1">
      <alignment horizontal="center"/>
    </xf>
    <xf numFmtId="0" fontId="17"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2" fontId="3" fillId="0" borderId="51" xfId="0" applyNumberFormat="1" applyFont="1" applyBorder="1" applyAlignment="1" applyProtection="1">
      <alignment horizontal="center"/>
    </xf>
    <xf numFmtId="1" fontId="21" fillId="0" borderId="0" xfId="0" applyNumberFormat="1" applyFont="1" applyBorder="1" applyAlignment="1" applyProtection="1">
      <alignment horizontal="center"/>
    </xf>
    <xf numFmtId="0" fontId="3" fillId="7" borderId="0" xfId="0" applyFont="1" applyFill="1" applyBorder="1" applyAlignment="1" applyProtection="1">
      <alignment horizontal="right"/>
    </xf>
    <xf numFmtId="0" fontId="12" fillId="7" borderId="0" xfId="0" applyFont="1" applyFill="1" applyBorder="1" applyAlignment="1" applyProtection="1">
      <alignment horizontal="center"/>
    </xf>
    <xf numFmtId="0" fontId="3" fillId="7" borderId="0" xfId="0" applyFont="1" applyFill="1" applyBorder="1" applyAlignment="1" applyProtection="1">
      <alignment horizontal="left"/>
    </xf>
    <xf numFmtId="0" fontId="3" fillId="7" borderId="0" xfId="0" applyFont="1" applyFill="1" applyBorder="1" applyAlignment="1" applyProtection="1">
      <alignment horizontal="center"/>
    </xf>
    <xf numFmtId="0" fontId="0" fillId="7" borderId="0" xfId="0" applyFill="1" applyBorder="1" applyAlignment="1" applyProtection="1">
      <alignment horizontal="left"/>
    </xf>
    <xf numFmtId="0" fontId="0" fillId="7" borderId="0" xfId="0" applyFill="1" applyAlignment="1" applyProtection="1">
      <alignment horizontal="center"/>
    </xf>
    <xf numFmtId="0" fontId="5" fillId="7" borderId="0" xfId="5" applyFill="1" applyProtection="1"/>
    <xf numFmtId="0" fontId="5" fillId="0" borderId="11" xfId="0" applyFont="1" applyFill="1" applyBorder="1" applyAlignment="1" applyProtection="1">
      <alignment horizontal="left"/>
    </xf>
    <xf numFmtId="0" fontId="0" fillId="0" borderId="11" xfId="0" applyFill="1" applyBorder="1" applyAlignment="1" applyProtection="1"/>
    <xf numFmtId="167" fontId="5" fillId="0" borderId="0" xfId="0" applyNumberFormat="1" applyFont="1" applyFill="1" applyBorder="1" applyAlignment="1" applyProtection="1">
      <alignment horizontal="left"/>
    </xf>
    <xf numFmtId="0" fontId="0" fillId="7" borderId="0" xfId="0" applyFill="1" applyBorder="1" applyProtection="1"/>
    <xf numFmtId="0" fontId="75" fillId="7" borderId="0" xfId="0" applyFont="1" applyFill="1" applyBorder="1" applyAlignment="1" applyProtection="1">
      <alignment horizontal="center"/>
    </xf>
    <xf numFmtId="0" fontId="76" fillId="7" borderId="3" xfId="0" applyFont="1" applyFill="1" applyBorder="1" applyProtection="1"/>
    <xf numFmtId="0" fontId="76" fillId="7" borderId="0" xfId="0" applyFont="1" applyFill="1" applyProtection="1"/>
    <xf numFmtId="0" fontId="23" fillId="7" borderId="0" xfId="0" applyFont="1" applyFill="1" applyBorder="1" applyAlignment="1" applyProtection="1">
      <alignment horizontal="center"/>
    </xf>
    <xf numFmtId="0" fontId="0" fillId="7" borderId="0" xfId="0" applyFill="1" applyBorder="1" applyAlignment="1" applyProtection="1">
      <alignment horizontal="center"/>
    </xf>
    <xf numFmtId="0" fontId="5" fillId="7" borderId="0" xfId="0" applyFont="1" applyFill="1" applyAlignment="1" applyProtection="1">
      <alignment horizontal="center"/>
    </xf>
    <xf numFmtId="0" fontId="5" fillId="7" borderId="0" xfId="0" applyFont="1" applyFill="1" applyAlignment="1" applyProtection="1">
      <alignment horizontal="left"/>
    </xf>
    <xf numFmtId="0" fontId="3" fillId="7" borderId="0" xfId="0" applyFont="1" applyFill="1" applyAlignment="1" applyProtection="1">
      <alignment horizontal="left"/>
    </xf>
    <xf numFmtId="0" fontId="5" fillId="3" borderId="2" xfId="0" applyFont="1" applyFill="1" applyBorder="1" applyAlignment="1" applyProtection="1">
      <alignment horizontal="center"/>
      <protection locked="0"/>
    </xf>
    <xf numFmtId="0" fontId="4" fillId="7" borderId="0" xfId="0" applyFont="1" applyFill="1" applyBorder="1" applyAlignment="1" applyProtection="1">
      <alignment horizontal="left"/>
    </xf>
    <xf numFmtId="0" fontId="1" fillId="7" borderId="0" xfId="0" applyFont="1" applyFill="1" applyBorder="1" applyAlignment="1" applyProtection="1">
      <alignment horizontal="left"/>
    </xf>
    <xf numFmtId="0" fontId="5" fillId="7" borderId="0" xfId="0" applyFont="1" applyFill="1" applyBorder="1" applyAlignment="1" applyProtection="1">
      <alignment horizontal="right"/>
    </xf>
    <xf numFmtId="0" fontId="1" fillId="7" borderId="0" xfId="0" applyFont="1" applyFill="1" applyBorder="1" applyAlignment="1" applyProtection="1">
      <alignment horizontal="right"/>
    </xf>
    <xf numFmtId="40" fontId="0" fillId="0" borderId="2" xfId="1" applyFont="1" applyBorder="1" applyAlignment="1" applyProtection="1">
      <alignment horizontal="center"/>
    </xf>
    <xf numFmtId="40" fontId="5" fillId="0" borderId="2" xfId="1" applyFont="1" applyFill="1" applyBorder="1" applyAlignment="1" applyProtection="1">
      <alignment horizontal="center" vertical="center"/>
    </xf>
    <xf numFmtId="40" fontId="69" fillId="0" borderId="0" xfId="1" quotePrefix="1" applyFont="1" applyBorder="1" applyAlignment="1" applyProtection="1">
      <alignment horizontal="center"/>
    </xf>
    <xf numFmtId="0" fontId="1" fillId="7" borderId="0" xfId="0" applyFont="1" applyFill="1" applyAlignment="1" applyProtection="1">
      <alignment horizontal="center" vertical="top"/>
    </xf>
    <xf numFmtId="0" fontId="44" fillId="7" borderId="0" xfId="0" applyFont="1" applyFill="1" applyAlignment="1" applyProtection="1">
      <alignment vertical="center"/>
    </xf>
    <xf numFmtId="0" fontId="45" fillId="7" borderId="0" xfId="0" applyFont="1" applyFill="1" applyAlignment="1" applyProtection="1">
      <alignment horizontal="center"/>
    </xf>
    <xf numFmtId="0" fontId="45" fillId="7" borderId="0" xfId="0" applyFont="1" applyFill="1" applyAlignment="1" applyProtection="1">
      <alignment horizontal="right"/>
    </xf>
    <xf numFmtId="0" fontId="0" fillId="7" borderId="2" xfId="0" applyFill="1" applyBorder="1" applyAlignment="1" applyProtection="1">
      <alignment horizontal="center"/>
    </xf>
    <xf numFmtId="0" fontId="55" fillId="7" borderId="0" xfId="0" applyFont="1" applyFill="1" applyAlignment="1" applyProtection="1">
      <alignment horizontal="center" vertical="center"/>
    </xf>
    <xf numFmtId="0" fontId="1" fillId="7" borderId="0" xfId="0" applyFont="1" applyFill="1" applyAlignment="1" applyProtection="1">
      <alignment horizontal="center"/>
    </xf>
    <xf numFmtId="0" fontId="77" fillId="7" borderId="0" xfId="0" applyFont="1" applyFill="1" applyAlignment="1" applyProtection="1">
      <alignment horizontal="center"/>
    </xf>
    <xf numFmtId="0" fontId="45" fillId="7" borderId="0" xfId="0" applyFont="1" applyFill="1" applyAlignment="1" applyProtection="1">
      <alignment horizontal="left"/>
    </xf>
    <xf numFmtId="0" fontId="1" fillId="7" borderId="0" xfId="0" applyFont="1" applyFill="1" applyAlignment="1" applyProtection="1">
      <alignment horizontal="left"/>
    </xf>
    <xf numFmtId="0" fontId="57" fillId="7" borderId="0" xfId="0" applyFont="1" applyFill="1" applyAlignment="1" applyProtection="1">
      <alignment horizontal="right"/>
    </xf>
    <xf numFmtId="0" fontId="1" fillId="7" borderId="0" xfId="0" applyFont="1" applyFill="1" applyBorder="1" applyAlignment="1" applyProtection="1">
      <alignment horizontal="center"/>
    </xf>
    <xf numFmtId="43" fontId="1" fillId="7" borderId="0" xfId="0" applyNumberFormat="1" applyFont="1" applyFill="1" applyBorder="1" applyAlignment="1" applyProtection="1">
      <alignment horizontal="left"/>
    </xf>
    <xf numFmtId="171" fontId="29" fillId="7" borderId="0" xfId="0" applyNumberFormat="1" applyFont="1" applyFill="1" applyBorder="1" applyAlignment="1" applyProtection="1">
      <alignment horizontal="center" vertical="top"/>
    </xf>
    <xf numFmtId="43" fontId="56" fillId="7" borderId="0" xfId="0" applyNumberFormat="1" applyFont="1" applyFill="1" applyBorder="1" applyAlignment="1" applyProtection="1">
      <alignment horizontal="left"/>
    </xf>
    <xf numFmtId="171" fontId="58" fillId="7" borderId="0" xfId="0" applyNumberFormat="1" applyFont="1" applyFill="1" applyBorder="1" applyAlignment="1" applyProtection="1">
      <alignment horizontal="center" vertical="top"/>
    </xf>
    <xf numFmtId="0" fontId="1" fillId="7" borderId="0" xfId="0" applyFont="1" applyFill="1" applyBorder="1" applyAlignment="1" applyProtection="1">
      <alignment horizontal="center" vertical="top"/>
    </xf>
    <xf numFmtId="0" fontId="45" fillId="7" borderId="0" xfId="0" applyFont="1" applyFill="1" applyBorder="1" applyAlignment="1" applyProtection="1">
      <alignment horizontal="left"/>
    </xf>
    <xf numFmtId="0" fontId="54" fillId="7" borderId="0" xfId="0" applyFont="1" applyFill="1" applyBorder="1" applyAlignment="1" applyProtection="1">
      <alignment horizontal="right" vertical="top"/>
    </xf>
    <xf numFmtId="0" fontId="1" fillId="7" borderId="0" xfId="0" applyFont="1" applyFill="1" applyBorder="1" applyAlignment="1" applyProtection="1">
      <alignment horizontal="right" vertical="center"/>
    </xf>
    <xf numFmtId="2" fontId="0" fillId="3" borderId="17" xfId="0" applyNumberFormat="1" applyFill="1" applyBorder="1" applyAlignment="1" applyProtection="1">
      <alignment horizontal="center"/>
      <protection locked="0"/>
    </xf>
    <xf numFmtId="0" fontId="0" fillId="0" borderId="0" xfId="0" applyFill="1" applyProtection="1"/>
    <xf numFmtId="0" fontId="75" fillId="0" borderId="0" xfId="0" applyFont="1" applyFill="1" applyBorder="1" applyAlignment="1" applyProtection="1">
      <alignment horizontal="right"/>
    </xf>
    <xf numFmtId="0" fontId="75" fillId="0" borderId="0" xfId="0" applyFont="1" applyBorder="1" applyAlignment="1" applyProtection="1">
      <alignment horizontal="right"/>
    </xf>
    <xf numFmtId="0" fontId="2" fillId="0" borderId="0" xfId="3" applyFill="1" applyBorder="1" applyAlignment="1" applyProtection="1">
      <alignment horizontal="left"/>
    </xf>
    <xf numFmtId="0" fontId="27" fillId="7" borderId="0" xfId="0" applyFont="1" applyFill="1" applyAlignment="1" applyProtection="1">
      <alignment horizontal="left"/>
    </xf>
    <xf numFmtId="0" fontId="0" fillId="7" borderId="0" xfId="0" applyFill="1" applyAlignment="1" applyProtection="1">
      <alignment horizontal="left"/>
    </xf>
    <xf numFmtId="0" fontId="6" fillId="7" borderId="0" xfId="0" applyFont="1" applyFill="1" applyAlignment="1" applyProtection="1">
      <alignment horizontal="center"/>
    </xf>
    <xf numFmtId="0" fontId="8" fillId="7" borderId="0" xfId="0" applyFont="1" applyFill="1" applyAlignment="1" applyProtection="1">
      <alignment horizontal="left"/>
    </xf>
    <xf numFmtId="0" fontId="9" fillId="7" borderId="15" xfId="0" applyFont="1" applyFill="1" applyBorder="1" applyAlignment="1" applyProtection="1">
      <alignment horizontal="left"/>
    </xf>
    <xf numFmtId="0" fontId="9" fillId="7" borderId="18" xfId="0" applyFont="1" applyFill="1" applyBorder="1" applyAlignment="1" applyProtection="1">
      <alignment horizontal="left"/>
    </xf>
    <xf numFmtId="0" fontId="9" fillId="7" borderId="18" xfId="0" applyFont="1" applyFill="1" applyBorder="1" applyAlignment="1" applyProtection="1">
      <alignment horizontal="right"/>
    </xf>
    <xf numFmtId="0" fontId="4" fillId="7" borderId="0" xfId="0" applyFont="1" applyFill="1" applyAlignment="1" applyProtection="1">
      <alignment horizontal="center"/>
    </xf>
    <xf numFmtId="0" fontId="10" fillId="7" borderId="15" xfId="0" applyFont="1" applyFill="1" applyBorder="1" applyAlignment="1" applyProtection="1"/>
    <xf numFmtId="0" fontId="10" fillId="7" borderId="18" xfId="0" applyFont="1" applyFill="1" applyBorder="1" applyAlignment="1" applyProtection="1"/>
    <xf numFmtId="0" fontId="3" fillId="7" borderId="0" xfId="0" applyFont="1" applyFill="1" applyAlignment="1" applyProtection="1">
      <alignment horizontal="center"/>
    </xf>
    <xf numFmtId="0" fontId="69" fillId="7" borderId="0" xfId="0" applyFont="1" applyFill="1" applyAlignment="1" applyProtection="1">
      <alignment horizontal="center"/>
    </xf>
    <xf numFmtId="0" fontId="69" fillId="7" borderId="15" xfId="0" applyFont="1" applyFill="1" applyBorder="1" applyAlignment="1" applyProtection="1">
      <alignment horizontal="center"/>
    </xf>
    <xf numFmtId="0" fontId="69" fillId="7" borderId="18" xfId="0" applyFont="1" applyFill="1" applyBorder="1" applyAlignment="1" applyProtection="1">
      <alignment horizontal="center"/>
    </xf>
    <xf numFmtId="0" fontId="78" fillId="7" borderId="19" xfId="0" applyFont="1" applyFill="1" applyBorder="1" applyAlignment="1" applyProtection="1">
      <alignment horizontal="center"/>
    </xf>
    <xf numFmtId="0" fontId="78" fillId="7" borderId="20" xfId="0" applyFont="1" applyFill="1" applyBorder="1" applyAlignment="1" applyProtection="1">
      <alignment horizontal="center"/>
    </xf>
    <xf numFmtId="0" fontId="78" fillId="7" borderId="0" xfId="0" applyFont="1" applyFill="1" applyAlignment="1" applyProtection="1">
      <alignment horizontal="center"/>
    </xf>
    <xf numFmtId="0" fontId="9" fillId="7" borderId="0" xfId="0" applyFont="1" applyFill="1" applyAlignment="1" applyProtection="1">
      <alignment horizontal="center"/>
    </xf>
    <xf numFmtId="0" fontId="49" fillId="7" borderId="0" xfId="0" applyFont="1" applyFill="1" applyAlignment="1" applyProtection="1">
      <alignment horizontal="left"/>
    </xf>
    <xf numFmtId="0" fontId="79" fillId="7" borderId="2" xfId="0" applyFont="1" applyFill="1" applyBorder="1" applyAlignment="1" applyProtection="1">
      <alignment horizontal="center"/>
    </xf>
    <xf numFmtId="0" fontId="4" fillId="7" borderId="0" xfId="6" applyFont="1" applyFill="1" applyAlignment="1" applyProtection="1">
      <alignment horizontal="left"/>
    </xf>
    <xf numFmtId="0" fontId="5" fillId="7" borderId="0" xfId="6" applyFont="1" applyFill="1" applyAlignment="1" applyProtection="1">
      <alignment horizontal="left"/>
    </xf>
    <xf numFmtId="0" fontId="5" fillId="7" borderId="0" xfId="6" applyFont="1" applyFill="1" applyAlignment="1" applyProtection="1">
      <alignment horizontal="center"/>
    </xf>
    <xf numFmtId="0" fontId="0" fillId="7" borderId="0" xfId="0" applyFill="1" applyBorder="1" applyAlignment="1" applyProtection="1">
      <alignment horizontal="right"/>
    </xf>
    <xf numFmtId="0" fontId="4" fillId="7" borderId="0" xfId="0" applyFont="1" applyFill="1" applyAlignment="1" applyProtection="1">
      <alignment horizontal="left"/>
    </xf>
    <xf numFmtId="0" fontId="0" fillId="7" borderId="21" xfId="0" applyFill="1" applyBorder="1" applyAlignment="1" applyProtection="1">
      <alignment horizontal="center"/>
    </xf>
    <xf numFmtId="0" fontId="0" fillId="7" borderId="3" xfId="0" applyFill="1" applyBorder="1" applyAlignment="1" applyProtection="1">
      <alignment horizontal="center"/>
    </xf>
    <xf numFmtId="0" fontId="5" fillId="7" borderId="3" xfId="0" applyFont="1" applyFill="1" applyBorder="1" applyAlignment="1" applyProtection="1">
      <alignment horizontal="center"/>
    </xf>
    <xf numFmtId="0" fontId="1" fillId="7" borderId="2" xfId="0" applyFont="1" applyFill="1" applyBorder="1" applyAlignment="1" applyProtection="1">
      <alignment horizontal="center"/>
    </xf>
    <xf numFmtId="0" fontId="5" fillId="7" borderId="0" xfId="0" quotePrefix="1" applyFont="1" applyFill="1" applyAlignment="1" applyProtection="1">
      <alignment horizontal="center"/>
    </xf>
    <xf numFmtId="0" fontId="3" fillId="7" borderId="0" xfId="0" applyFont="1" applyFill="1" applyProtection="1"/>
    <xf numFmtId="0" fontId="49" fillId="7" borderId="0" xfId="0" applyFont="1" applyFill="1" applyAlignment="1" applyProtection="1">
      <alignment horizontal="right"/>
    </xf>
    <xf numFmtId="0" fontId="50" fillId="7" borderId="0" xfId="0" applyFont="1" applyFill="1" applyAlignment="1" applyProtection="1">
      <alignment horizontal="left"/>
    </xf>
    <xf numFmtId="0" fontId="5" fillId="3" borderId="2" xfId="0" applyFont="1" applyFill="1" applyBorder="1" applyProtection="1">
      <protection locked="0"/>
    </xf>
    <xf numFmtId="0" fontId="0" fillId="3" borderId="2" xfId="0" applyFill="1" applyBorder="1" applyProtection="1">
      <protection locked="0"/>
    </xf>
    <xf numFmtId="0" fontId="1" fillId="6" borderId="0" xfId="0" applyFont="1" applyFill="1" applyBorder="1" applyAlignment="1" applyProtection="1">
      <alignment horizontal="center"/>
    </xf>
    <xf numFmtId="0" fontId="2" fillId="0" borderId="0" xfId="3" applyFill="1" applyBorder="1" applyAlignment="1" applyProtection="1">
      <alignment horizontal="center"/>
    </xf>
    <xf numFmtId="0" fontId="5" fillId="6" borderId="0" xfId="5" applyFont="1" applyFill="1" applyBorder="1" applyAlignment="1" applyProtection="1">
      <alignment horizontal="center"/>
    </xf>
    <xf numFmtId="0" fontId="0" fillId="7" borderId="0" xfId="0" applyFill="1" applyAlignment="1" applyProtection="1"/>
    <xf numFmtId="0" fontId="0" fillId="7" borderId="0" xfId="0" applyFill="1" applyBorder="1" applyAlignment="1" applyProtection="1"/>
    <xf numFmtId="0" fontId="16" fillId="7" borderId="0" xfId="0" applyFont="1" applyFill="1" applyBorder="1" applyAlignment="1" applyProtection="1">
      <alignment horizontal="left"/>
    </xf>
    <xf numFmtId="0" fontId="1" fillId="7" borderId="2" xfId="6" applyFont="1" applyFill="1" applyBorder="1" applyAlignment="1" applyProtection="1">
      <alignment horizontal="center"/>
    </xf>
    <xf numFmtId="0" fontId="25" fillId="7" borderId="0" xfId="6" applyFill="1" applyAlignment="1" applyProtection="1">
      <alignment horizontal="left"/>
    </xf>
    <xf numFmtId="0" fontId="0" fillId="7" borderId="0" xfId="0" applyFill="1" applyAlignment="1" applyProtection="1">
      <alignment horizontal="right"/>
    </xf>
    <xf numFmtId="0" fontId="25" fillId="7" borderId="0" xfId="6" applyFill="1" applyBorder="1" applyAlignment="1" applyProtection="1">
      <alignment horizontal="center"/>
    </xf>
    <xf numFmtId="1" fontId="3" fillId="7" borderId="0" xfId="0" applyNumberFormat="1" applyFont="1" applyFill="1" applyBorder="1" applyAlignment="1" applyProtection="1">
      <alignment horizontal="center" vertical="center"/>
    </xf>
    <xf numFmtId="0" fontId="25" fillId="7" borderId="0" xfId="6" applyFill="1" applyBorder="1" applyAlignment="1" applyProtection="1">
      <alignment horizontal="left"/>
    </xf>
    <xf numFmtId="0" fontId="5" fillId="7" borderId="0" xfId="6" applyFont="1" applyFill="1" applyBorder="1" applyAlignment="1" applyProtection="1">
      <alignment horizontal="left"/>
    </xf>
    <xf numFmtId="0" fontId="5" fillId="7" borderId="0" xfId="6" applyFont="1" applyFill="1" applyBorder="1" applyAlignment="1" applyProtection="1">
      <alignment horizontal="right"/>
    </xf>
    <xf numFmtId="0" fontId="5" fillId="7" borderId="0" xfId="6" applyFont="1" applyFill="1" applyBorder="1" applyAlignment="1" applyProtection="1">
      <alignment horizontal="center"/>
    </xf>
    <xf numFmtId="0" fontId="14" fillId="7" borderId="0" xfId="0" applyFont="1" applyFill="1" applyBorder="1" applyAlignment="1" applyProtection="1">
      <alignment horizontal="left" vertical="center"/>
    </xf>
    <xf numFmtId="0" fontId="3" fillId="7" borderId="0" xfId="6" applyFont="1" applyFill="1" applyAlignment="1" applyProtection="1">
      <alignment horizontal="left"/>
    </xf>
    <xf numFmtId="0" fontId="4" fillId="7" borderId="0" xfId="6" applyFont="1" applyFill="1" applyBorder="1" applyAlignment="1" applyProtection="1">
      <alignment horizontal="left"/>
    </xf>
    <xf numFmtId="166" fontId="0" fillId="7" borderId="0" xfId="0" applyNumberFormat="1" applyFill="1" applyBorder="1" applyAlignment="1" applyProtection="1">
      <alignment horizontal="center"/>
    </xf>
    <xf numFmtId="0" fontId="70" fillId="7" borderId="2" xfId="0" quotePrefix="1" applyFont="1" applyFill="1" applyBorder="1" applyAlignment="1" applyProtection="1">
      <alignment horizontal="center"/>
    </xf>
    <xf numFmtId="0" fontId="39" fillId="7" borderId="3" xfId="0" applyFont="1" applyFill="1" applyBorder="1" applyAlignment="1" applyProtection="1">
      <alignment horizontal="center"/>
    </xf>
    <xf numFmtId="0" fontId="0" fillId="7" borderId="0" xfId="0" applyFill="1" applyBorder="1" applyAlignment="1" applyProtection="1">
      <alignment horizontal="right" vertical="center"/>
    </xf>
    <xf numFmtId="1" fontId="3" fillId="7" borderId="0" xfId="0" applyNumberFormat="1" applyFont="1" applyFill="1" applyBorder="1" applyAlignment="1" applyProtection="1">
      <alignment horizontal="center"/>
    </xf>
    <xf numFmtId="0" fontId="29" fillId="7" borderId="2" xfId="0" applyFont="1" applyFill="1" applyBorder="1" applyAlignment="1" applyProtection="1">
      <alignment horizontal="center"/>
    </xf>
    <xf numFmtId="0" fontId="5" fillId="7" borderId="0" xfId="0" quotePrefix="1" applyFont="1" applyFill="1" applyBorder="1" applyAlignment="1" applyProtection="1">
      <alignment horizontal="center"/>
    </xf>
    <xf numFmtId="0" fontId="12" fillId="7" borderId="0" xfId="0" applyFont="1" applyFill="1" applyAlignment="1" applyProtection="1">
      <alignment horizontal="center"/>
    </xf>
    <xf numFmtId="0" fontId="9" fillId="7" borderId="0" xfId="0" applyFont="1" applyFill="1" applyAlignment="1" applyProtection="1">
      <alignment horizontal="right"/>
    </xf>
    <xf numFmtId="0" fontId="17" fillId="0" borderId="21" xfId="0" applyFont="1" applyFill="1" applyBorder="1" applyAlignment="1" applyProtection="1"/>
    <xf numFmtId="0" fontId="2" fillId="0" borderId="0" xfId="3" applyBorder="1" applyAlignment="1" applyProtection="1">
      <alignment horizontal="left"/>
    </xf>
    <xf numFmtId="0" fontId="51" fillId="0" borderId="36" xfId="0" applyFont="1" applyFill="1" applyBorder="1" applyAlignment="1" applyProtection="1">
      <alignment vertical="center"/>
    </xf>
    <xf numFmtId="0" fontId="1" fillId="7" borderId="0" xfId="0" applyFont="1" applyFill="1" applyProtection="1"/>
    <xf numFmtId="0" fontId="1" fillId="0" borderId="37" xfId="0" applyFont="1" applyFill="1" applyBorder="1" applyAlignment="1" applyProtection="1"/>
    <xf numFmtId="0" fontId="1" fillId="0" borderId="37" xfId="0" applyFont="1" applyFill="1" applyBorder="1" applyAlignment="1" applyProtection="1">
      <alignment horizontal="left"/>
    </xf>
    <xf numFmtId="0" fontId="1" fillId="0" borderId="37" xfId="0" applyFont="1" applyFill="1" applyBorder="1" applyProtection="1"/>
    <xf numFmtId="0" fontId="1" fillId="0" borderId="38" xfId="0" applyFont="1" applyFill="1" applyBorder="1" applyProtection="1"/>
    <xf numFmtId="0" fontId="1" fillId="0" borderId="39" xfId="0" applyFont="1" applyFill="1" applyBorder="1" applyAlignment="1" applyProtection="1"/>
    <xf numFmtId="0" fontId="1" fillId="0" borderId="0" xfId="0" applyFont="1" applyFill="1" applyBorder="1" applyAlignment="1" applyProtection="1"/>
    <xf numFmtId="0" fontId="1" fillId="0" borderId="0" xfId="0" applyFont="1" applyFill="1" applyBorder="1" applyProtection="1"/>
    <xf numFmtId="0" fontId="1" fillId="0" borderId="35" xfId="0" applyFont="1" applyFill="1" applyBorder="1" applyProtection="1"/>
    <xf numFmtId="0" fontId="1" fillId="0" borderId="0" xfId="0" applyFont="1" applyFill="1" applyBorder="1" applyAlignment="1" applyProtection="1">
      <alignment horizontal="left"/>
    </xf>
    <xf numFmtId="0" fontId="80" fillId="0" borderId="39" xfId="0" applyFont="1" applyFill="1" applyBorder="1" applyAlignment="1" applyProtection="1"/>
    <xf numFmtId="0" fontId="80" fillId="0" borderId="0" xfId="0" applyFont="1" applyFill="1" applyBorder="1" applyAlignment="1" applyProtection="1"/>
    <xf numFmtId="0" fontId="29" fillId="0" borderId="0" xfId="0" applyFont="1" applyFill="1" applyBorder="1" applyAlignment="1" applyProtection="1"/>
    <xf numFmtId="0" fontId="29" fillId="0" borderId="0" xfId="0" applyFont="1" applyFill="1" applyBorder="1" applyProtection="1"/>
    <xf numFmtId="0" fontId="59" fillId="0" borderId="39" xfId="3" applyFont="1" applyFill="1" applyBorder="1" applyAlignment="1" applyProtection="1">
      <alignment horizontal="center"/>
    </xf>
    <xf numFmtId="0" fontId="53" fillId="0" borderId="0" xfId="0" applyFont="1" applyFill="1" applyBorder="1" applyProtection="1"/>
    <xf numFmtId="0" fontId="79" fillId="0" borderId="0" xfId="0" applyFont="1" applyFill="1" applyBorder="1" applyAlignment="1" applyProtection="1">
      <alignment horizontal="center"/>
    </xf>
    <xf numFmtId="0" fontId="1" fillId="0" borderId="0" xfId="0" applyFont="1" applyFill="1" applyBorder="1" applyAlignment="1" applyProtection="1">
      <alignment horizontal="right"/>
    </xf>
    <xf numFmtId="0" fontId="1" fillId="3" borderId="2" xfId="0" applyFont="1" applyFill="1" applyBorder="1" applyAlignment="1" applyProtection="1">
      <alignment horizontal="center"/>
      <protection locked="0"/>
    </xf>
    <xf numFmtId="0" fontId="81" fillId="0" borderId="0" xfId="0" applyFont="1" applyFill="1" applyBorder="1" applyAlignment="1" applyProtection="1">
      <alignment horizontal="left"/>
    </xf>
    <xf numFmtId="0" fontId="1" fillId="0" borderId="0" xfId="0" applyFont="1" applyFill="1" applyBorder="1" applyAlignment="1" applyProtection="1">
      <alignment horizontal="center" wrapText="1"/>
    </xf>
    <xf numFmtId="0" fontId="52" fillId="0" borderId="39" xfId="0" applyFont="1" applyFill="1" applyBorder="1" applyAlignment="1" applyProtection="1">
      <alignment horizontal="right"/>
    </xf>
    <xf numFmtId="0" fontId="45" fillId="0" borderId="0" xfId="0" applyFont="1" applyFill="1" applyBorder="1" applyAlignment="1" applyProtection="1">
      <alignment horizontal="center"/>
    </xf>
    <xf numFmtId="0" fontId="1" fillId="0" borderId="39" xfId="0" applyFont="1" applyFill="1" applyBorder="1" applyProtection="1"/>
    <xf numFmtId="0" fontId="82" fillId="0" borderId="0" xfId="0" applyFont="1" applyFill="1" applyBorder="1" applyAlignment="1" applyProtection="1">
      <alignment horizontal="center"/>
    </xf>
    <xf numFmtId="0" fontId="1" fillId="7" borderId="0" xfId="0" applyFont="1" applyFill="1" applyAlignment="1" applyProtection="1"/>
    <xf numFmtId="0" fontId="60" fillId="0" borderId="39" xfId="0" applyFont="1" applyFill="1" applyBorder="1" applyAlignment="1" applyProtection="1">
      <alignment horizontal="left"/>
    </xf>
    <xf numFmtId="0" fontId="52" fillId="0" borderId="0" xfId="0" applyFont="1" applyFill="1" applyBorder="1" applyAlignment="1" applyProtection="1">
      <alignment horizontal="left"/>
    </xf>
    <xf numFmtId="0" fontId="1" fillId="0" borderId="35" xfId="0" applyFont="1" applyFill="1" applyBorder="1" applyAlignment="1" applyProtection="1">
      <alignment horizontal="left"/>
    </xf>
    <xf numFmtId="0" fontId="80" fillId="0" borderId="39" xfId="0" applyFont="1" applyFill="1" applyBorder="1" applyAlignment="1" applyProtection="1">
      <alignment horizontal="left"/>
    </xf>
    <xf numFmtId="0" fontId="29" fillId="0" borderId="0" xfId="0" applyFont="1" applyFill="1" applyBorder="1" applyAlignment="1" applyProtection="1">
      <alignment horizontal="left"/>
    </xf>
    <xf numFmtId="0" fontId="1" fillId="0" borderId="39" xfId="0" applyFont="1" applyFill="1" applyBorder="1" applyAlignment="1" applyProtection="1">
      <alignment horizontal="left"/>
    </xf>
    <xf numFmtId="0" fontId="29" fillId="0" borderId="0" xfId="0" applyFont="1" applyFill="1" applyBorder="1" applyAlignment="1" applyProtection="1">
      <alignment horizontal="center"/>
    </xf>
    <xf numFmtId="0" fontId="1" fillId="0" borderId="39" xfId="0" applyFont="1" applyFill="1" applyBorder="1" applyAlignment="1" applyProtection="1">
      <alignment horizontal="center"/>
    </xf>
    <xf numFmtId="0" fontId="53" fillId="0" borderId="0" xfId="0" applyFont="1" applyFill="1" applyBorder="1" applyAlignment="1" applyProtection="1">
      <alignment horizontal="center"/>
    </xf>
    <xf numFmtId="0" fontId="1" fillId="0" borderId="35" xfId="0" applyFont="1" applyFill="1" applyBorder="1" applyAlignment="1" applyProtection="1">
      <alignment horizontal="center"/>
    </xf>
    <xf numFmtId="0" fontId="1" fillId="6" borderId="0" xfId="0" applyFont="1" applyFill="1" applyBorder="1" applyAlignment="1" applyProtection="1">
      <alignment horizontal="left"/>
    </xf>
    <xf numFmtId="0" fontId="29" fillId="7" borderId="0" xfId="0" applyFont="1" applyFill="1" applyBorder="1" applyAlignment="1" applyProtection="1">
      <alignment horizontal="right"/>
    </xf>
    <xf numFmtId="0" fontId="62" fillId="0" borderId="0" xfId="0" applyFont="1" applyFill="1" applyBorder="1" applyAlignment="1" applyProtection="1">
      <alignment horizontal="right"/>
    </xf>
    <xf numFmtId="0" fontId="64" fillId="0" borderId="0" xfId="0" applyFont="1" applyFill="1" applyBorder="1" applyAlignment="1" applyProtection="1">
      <alignment horizontal="right"/>
    </xf>
    <xf numFmtId="0" fontId="66"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1" fillId="0" borderId="40" xfId="0" applyFont="1" applyFill="1" applyBorder="1" applyAlignment="1" applyProtection="1">
      <alignment horizontal="center"/>
    </xf>
    <xf numFmtId="0" fontId="1" fillId="0" borderId="41" xfId="0" applyFont="1" applyFill="1" applyBorder="1" applyAlignment="1" applyProtection="1">
      <alignment horizontal="left"/>
    </xf>
    <xf numFmtId="0" fontId="1" fillId="0" borderId="41" xfId="0" applyFont="1" applyFill="1" applyBorder="1" applyAlignment="1" applyProtection="1">
      <alignment horizontal="center"/>
    </xf>
    <xf numFmtId="0" fontId="53" fillId="0" borderId="41" xfId="0" applyFont="1" applyFill="1" applyBorder="1" applyAlignment="1" applyProtection="1">
      <alignment horizontal="center"/>
    </xf>
    <xf numFmtId="0" fontId="1" fillId="0" borderId="42" xfId="0" applyFont="1" applyFill="1" applyBorder="1" applyAlignment="1" applyProtection="1">
      <alignment horizontal="center"/>
    </xf>
    <xf numFmtId="0" fontId="1" fillId="7" borderId="0" xfId="0" applyFont="1" applyFill="1" applyAlignment="1" applyProtection="1">
      <alignment horizontal="right"/>
    </xf>
    <xf numFmtId="0" fontId="1" fillId="7" borderId="0" xfId="0" applyFont="1" applyFill="1" applyBorder="1" applyProtection="1"/>
    <xf numFmtId="0" fontId="1" fillId="7" borderId="0" xfId="0" applyFont="1" applyFill="1" applyBorder="1" applyAlignment="1" applyProtection="1"/>
    <xf numFmtId="0" fontId="29" fillId="7" borderId="0" xfId="0" applyFont="1" applyFill="1" applyAlignment="1" applyProtection="1">
      <alignment horizontal="right"/>
    </xf>
    <xf numFmtId="3" fontId="29" fillId="7" borderId="0" xfId="0" applyNumberFormat="1" applyFont="1" applyFill="1" applyBorder="1" applyAlignment="1" applyProtection="1">
      <alignment horizontal="center"/>
    </xf>
    <xf numFmtId="4" fontId="1" fillId="7" borderId="0" xfId="0" applyNumberFormat="1" applyFont="1" applyFill="1" applyBorder="1" applyAlignment="1" applyProtection="1">
      <alignment horizontal="center"/>
    </xf>
    <xf numFmtId="0" fontId="29" fillId="6" borderId="0" xfId="0" applyFont="1" applyFill="1" applyBorder="1" applyAlignment="1" applyProtection="1">
      <alignment horizontal="left"/>
    </xf>
    <xf numFmtId="0" fontId="1" fillId="6" borderId="0" xfId="0" applyFont="1" applyFill="1" applyBorder="1" applyProtection="1"/>
    <xf numFmtId="0" fontId="1" fillId="6" borderId="0" xfId="0" applyFont="1" applyFill="1" applyBorder="1" applyAlignment="1" applyProtection="1"/>
    <xf numFmtId="0" fontId="45" fillId="6" borderId="0" xfId="0" applyFont="1" applyFill="1" applyBorder="1" applyAlignment="1" applyProtection="1">
      <alignment horizontal="left"/>
    </xf>
    <xf numFmtId="0" fontId="1" fillId="6" borderId="0" xfId="0" applyFont="1" applyFill="1" applyBorder="1" applyAlignment="1" applyProtection="1">
      <alignment horizontal="right"/>
    </xf>
    <xf numFmtId="0" fontId="29" fillId="6" borderId="0" xfId="0" applyFont="1" applyFill="1" applyBorder="1" applyAlignment="1" applyProtection="1">
      <alignment vertical="center"/>
    </xf>
    <xf numFmtId="0" fontId="1" fillId="6" borderId="52" xfId="0" applyFont="1" applyFill="1" applyBorder="1" applyAlignment="1" applyProtection="1">
      <alignment horizontal="center"/>
    </xf>
    <xf numFmtId="0" fontId="1" fillId="6" borderId="36" xfId="0" applyFont="1" applyFill="1" applyBorder="1" applyProtection="1"/>
    <xf numFmtId="0" fontId="1" fillId="6" borderId="37" xfId="0" applyFont="1" applyFill="1" applyBorder="1" applyProtection="1"/>
    <xf numFmtId="0" fontId="1" fillId="6" borderId="38" xfId="0" applyFont="1" applyFill="1" applyBorder="1" applyProtection="1"/>
    <xf numFmtId="0" fontId="1" fillId="6" borderId="39" xfId="0" applyFont="1" applyFill="1" applyBorder="1" applyProtection="1"/>
    <xf numFmtId="0" fontId="1" fillId="6" borderId="35" xfId="0" applyFont="1" applyFill="1" applyBorder="1" applyProtection="1"/>
    <xf numFmtId="0" fontId="60" fillId="6" borderId="39" xfId="0" applyFont="1" applyFill="1" applyBorder="1" applyAlignment="1" applyProtection="1">
      <alignment horizontal="left"/>
    </xf>
    <xf numFmtId="0" fontId="52" fillId="6" borderId="0" xfId="0" applyFont="1" applyFill="1" applyBorder="1" applyAlignment="1" applyProtection="1">
      <alignment horizontal="left"/>
    </xf>
    <xf numFmtId="0" fontId="1" fillId="6" borderId="35" xfId="0" applyFont="1" applyFill="1" applyBorder="1" applyAlignment="1" applyProtection="1">
      <alignment horizontal="left"/>
    </xf>
    <xf numFmtId="0" fontId="1" fillId="6" borderId="39" xfId="0" applyFont="1" applyFill="1" applyBorder="1" applyAlignment="1" applyProtection="1">
      <alignment horizontal="left"/>
    </xf>
    <xf numFmtId="0" fontId="1" fillId="6" borderId="39" xfId="0" applyFont="1" applyFill="1" applyBorder="1" applyAlignment="1" applyProtection="1">
      <alignment horizontal="center"/>
    </xf>
    <xf numFmtId="0" fontId="1" fillId="6" borderId="40" xfId="0" applyFont="1" applyFill="1" applyBorder="1" applyProtection="1"/>
    <xf numFmtId="0" fontId="1" fillId="6" borderId="41" xfId="0" applyFont="1" applyFill="1" applyBorder="1" applyProtection="1"/>
    <xf numFmtId="0" fontId="1" fillId="6" borderId="42" xfId="0" applyFont="1" applyFill="1" applyBorder="1" applyProtection="1"/>
    <xf numFmtId="0" fontId="20" fillId="0" borderId="0" xfId="0" quotePrefix="1" applyFont="1" applyFill="1" applyBorder="1" applyAlignment="1" applyProtection="1">
      <alignment horizontal="left"/>
    </xf>
    <xf numFmtId="40" fontId="5" fillId="0" borderId="0" xfId="1" applyFont="1" applyFill="1" applyBorder="1" applyAlignment="1" applyProtection="1">
      <alignment horizontal="center" vertical="center"/>
    </xf>
    <xf numFmtId="168" fontId="0" fillId="0" borderId="0" xfId="0" applyNumberFormat="1" applyFill="1" applyBorder="1" applyAlignment="1" applyProtection="1">
      <alignment horizontal="left"/>
      <protection locked="0"/>
    </xf>
    <xf numFmtId="172" fontId="0" fillId="3" borderId="17" xfId="0" applyNumberFormat="1" applyFill="1" applyBorder="1" applyAlignment="1" applyProtection="1">
      <alignment horizontal="center"/>
      <protection locked="0"/>
    </xf>
    <xf numFmtId="14" fontId="0" fillId="0" borderId="0" xfId="0" applyNumberFormat="1" applyFill="1" applyBorder="1" applyAlignment="1" applyProtection="1">
      <protection locked="0"/>
    </xf>
    <xf numFmtId="0" fontId="1" fillId="0" borderId="35" xfId="0" applyFont="1" applyFill="1" applyBorder="1" applyAlignment="1" applyProtection="1"/>
    <xf numFmtId="0" fontId="23" fillId="0" borderId="0" xfId="5" applyFont="1" applyFill="1" applyBorder="1" applyAlignment="1" applyProtection="1">
      <alignment horizontal="center" vertical="center"/>
    </xf>
    <xf numFmtId="0" fontId="3" fillId="7" borderId="0" xfId="0" applyFont="1" applyFill="1" applyBorder="1" applyAlignment="1" applyProtection="1">
      <alignment horizontal="center"/>
    </xf>
    <xf numFmtId="0" fontId="88" fillId="7" borderId="0" xfId="6" applyFont="1" applyFill="1" applyAlignment="1" applyProtection="1">
      <alignment horizontal="left"/>
    </xf>
    <xf numFmtId="0" fontId="69" fillId="7" borderId="0" xfId="0" applyFont="1" applyFill="1" applyBorder="1" applyAlignment="1" applyProtection="1">
      <alignment horizontal="center"/>
    </xf>
    <xf numFmtId="0" fontId="69" fillId="7" borderId="0" xfId="0" applyFont="1" applyFill="1" applyBorder="1" applyAlignment="1" applyProtection="1"/>
    <xf numFmtId="166" fontId="0" fillId="7" borderId="2" xfId="0" applyNumberFormat="1" applyFill="1" applyBorder="1" applyAlignment="1" applyProtection="1">
      <alignment horizontal="center"/>
    </xf>
    <xf numFmtId="0" fontId="27" fillId="0" borderId="0" xfId="3" applyFont="1" applyAlignment="1" applyProtection="1">
      <alignment horizontal="left"/>
      <protection locked="0"/>
    </xf>
    <xf numFmtId="0" fontId="2" fillId="0" borderId="0" xfId="3" applyBorder="1" applyAlignment="1" applyProtection="1">
      <alignment horizontal="left"/>
      <protection locked="0"/>
    </xf>
    <xf numFmtId="0" fontId="35" fillId="0" borderId="0" xfId="0" applyFont="1" applyBorder="1" applyAlignment="1" applyProtection="1">
      <alignment horizontal="center"/>
    </xf>
    <xf numFmtId="0" fontId="5" fillId="0" borderId="0" xfId="0" applyFont="1" applyBorder="1" applyAlignment="1" applyProtection="1">
      <alignment horizontal="left"/>
    </xf>
    <xf numFmtId="0" fontId="2" fillId="0" borderId="15" xfId="3" applyBorder="1" applyAlignment="1" applyProtection="1">
      <alignment horizontal="left" vertical="center"/>
    </xf>
    <xf numFmtId="0" fontId="2" fillId="0" borderId="35" xfId="3" applyBorder="1" applyAlignment="1" applyProtection="1">
      <alignment horizontal="left" vertical="center"/>
    </xf>
    <xf numFmtId="0" fontId="17" fillId="3" borderId="22"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0" fontId="2" fillId="0" borderId="0" xfId="3" applyBorder="1" applyAlignment="1" applyProtection="1">
      <alignment horizontal="left" wrapText="1"/>
      <protection locked="0"/>
    </xf>
    <xf numFmtId="0" fontId="0" fillId="0" borderId="0" xfId="0" applyAlignment="1" applyProtection="1">
      <alignment wrapText="1"/>
      <protection locked="0"/>
    </xf>
    <xf numFmtId="0" fontId="86" fillId="0" borderId="0" xfId="0" applyFont="1" applyBorder="1" applyAlignment="1" applyProtection="1">
      <alignment horizontal="center" vertical="top" wrapText="1"/>
    </xf>
    <xf numFmtId="0" fontId="86" fillId="0" borderId="0" xfId="0" applyFont="1" applyBorder="1" applyAlignment="1" applyProtection="1">
      <alignment horizontal="center" vertical="top"/>
    </xf>
    <xf numFmtId="0" fontId="86" fillId="0" borderId="35" xfId="0" applyFont="1" applyBorder="1" applyAlignment="1" applyProtection="1">
      <alignment horizontal="center" vertical="top"/>
    </xf>
    <xf numFmtId="0" fontId="9" fillId="3" borderId="24"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3" borderId="26" xfId="0" applyFont="1" applyFill="1" applyBorder="1" applyAlignment="1" applyProtection="1">
      <alignment horizontal="left" vertical="top" wrapText="1"/>
      <protection locked="0"/>
    </xf>
    <xf numFmtId="0" fontId="9" fillId="3" borderId="21"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0" borderId="28" xfId="0" applyFont="1" applyBorder="1" applyAlignment="1" applyProtection="1">
      <alignment horizontal="left" vertical="center"/>
    </xf>
    <xf numFmtId="0" fontId="83" fillId="0" borderId="0" xfId="0" applyFont="1" applyBorder="1" applyAlignment="1" applyProtection="1">
      <alignment horizontal="center" vertical="top" wrapText="1"/>
    </xf>
    <xf numFmtId="2" fontId="84" fillId="0" borderId="29" xfId="0" applyNumberFormat="1" applyFont="1" applyBorder="1" applyAlignment="1" applyProtection="1">
      <alignment horizontal="center" vertical="center" wrapText="1"/>
    </xf>
    <xf numFmtId="0" fontId="84" fillId="0" borderId="30" xfId="0" applyFont="1" applyBorder="1" applyAlignment="1" applyProtection="1">
      <alignment horizontal="center" vertical="center" wrapText="1"/>
    </xf>
    <xf numFmtId="0" fontId="23" fillId="0" borderId="0" xfId="0" applyFont="1" applyFill="1" applyBorder="1" applyAlignment="1" applyProtection="1">
      <alignment horizontal="center"/>
    </xf>
    <xf numFmtId="0" fontId="4" fillId="7" borderId="31" xfId="0" applyFont="1" applyFill="1" applyBorder="1" applyAlignment="1" applyProtection="1">
      <alignment horizontal="center"/>
    </xf>
    <xf numFmtId="0" fontId="4" fillId="7" borderId="1" xfId="0" applyFont="1" applyFill="1" applyBorder="1" applyAlignment="1" applyProtection="1">
      <alignment horizontal="center"/>
    </xf>
    <xf numFmtId="0" fontId="4" fillId="7" borderId="32" xfId="0" applyFont="1" applyFill="1" applyBorder="1" applyAlignment="1" applyProtection="1">
      <alignment horizontal="center"/>
    </xf>
    <xf numFmtId="0" fontId="87" fillId="0" borderId="0" xfId="0" applyFont="1" applyBorder="1" applyAlignment="1" applyProtection="1">
      <alignment horizontal="center" wrapText="1"/>
    </xf>
    <xf numFmtId="169" fontId="1" fillId="7" borderId="0" xfId="2" applyNumberFormat="1" applyFont="1" applyFill="1" applyBorder="1" applyAlignment="1" applyProtection="1">
      <alignment horizontal="right" vertical="top"/>
    </xf>
    <xf numFmtId="170" fontId="1" fillId="7" borderId="0" xfId="1" applyNumberFormat="1" applyFont="1" applyFill="1" applyBorder="1" applyAlignment="1" applyProtection="1">
      <alignment horizontal="right" vertical="top"/>
    </xf>
    <xf numFmtId="0" fontId="40" fillId="7" borderId="0" xfId="0" applyFont="1" applyFill="1" applyBorder="1" applyAlignment="1" applyProtection="1">
      <alignment horizontal="right" vertical="center"/>
    </xf>
    <xf numFmtId="0" fontId="40" fillId="7" borderId="0" xfId="0" quotePrefix="1" applyFont="1" applyFill="1" applyBorder="1" applyAlignment="1" applyProtection="1">
      <alignment horizontal="right" vertical="center"/>
    </xf>
    <xf numFmtId="43" fontId="40" fillId="7" borderId="0" xfId="1" applyNumberFormat="1" applyFont="1" applyFill="1" applyBorder="1" applyAlignment="1" applyProtection="1">
      <alignment horizontal="center" vertical="center"/>
    </xf>
    <xf numFmtId="0" fontId="40" fillId="7" borderId="0" xfId="0" quotePrefix="1" applyFont="1" applyFill="1" applyBorder="1" applyAlignment="1" applyProtection="1">
      <alignment horizontal="center" vertical="center"/>
    </xf>
    <xf numFmtId="169" fontId="1" fillId="7" borderId="3" xfId="2" applyNumberFormat="1" applyFont="1" applyFill="1" applyBorder="1" applyAlignment="1" applyProtection="1">
      <alignment horizontal="center"/>
    </xf>
    <xf numFmtId="169" fontId="1" fillId="7" borderId="0" xfId="0" applyNumberFormat="1" applyFont="1" applyFill="1" applyAlignment="1" applyProtection="1">
      <alignment horizontal="center"/>
    </xf>
    <xf numFmtId="2" fontId="40" fillId="7" borderId="31" xfId="0" quotePrefix="1" applyNumberFormat="1" applyFont="1" applyFill="1" applyBorder="1" applyAlignment="1" applyProtection="1">
      <alignment horizontal="center" vertical="center"/>
    </xf>
    <xf numFmtId="2" fontId="40" fillId="7" borderId="32" xfId="0" quotePrefix="1" applyNumberFormat="1" applyFont="1" applyFill="1" applyBorder="1" applyAlignment="1" applyProtection="1">
      <alignment horizontal="center" vertical="center"/>
    </xf>
    <xf numFmtId="2" fontId="40" fillId="7" borderId="19" xfId="0" quotePrefix="1" applyNumberFormat="1" applyFont="1" applyFill="1" applyBorder="1" applyAlignment="1" applyProtection="1">
      <alignment horizontal="center" vertical="center"/>
    </xf>
    <xf numFmtId="2" fontId="40" fillId="7" borderId="20" xfId="0" quotePrefix="1" applyNumberFormat="1" applyFont="1" applyFill="1" applyBorder="1" applyAlignment="1" applyProtection="1">
      <alignment horizontal="center" vertical="center"/>
    </xf>
    <xf numFmtId="0" fontId="1" fillId="0" borderId="39" xfId="0" applyFont="1" applyFill="1" applyBorder="1" applyAlignment="1" applyProtection="1">
      <alignment horizontal="center" wrapText="1"/>
    </xf>
    <xf numFmtId="0" fontId="1" fillId="0" borderId="18" xfId="0" applyFont="1" applyFill="1" applyBorder="1" applyAlignment="1" applyProtection="1">
      <alignment horizontal="center" wrapText="1"/>
    </xf>
    <xf numFmtId="0" fontId="62" fillId="0" borderId="56" xfId="0" applyFont="1" applyFill="1" applyBorder="1" applyAlignment="1" applyProtection="1">
      <alignment horizontal="center"/>
    </xf>
    <xf numFmtId="2" fontId="1" fillId="0" borderId="53" xfId="0" applyNumberFormat="1" applyFont="1" applyFill="1" applyBorder="1" applyAlignment="1" applyProtection="1">
      <alignment horizontal="center"/>
    </xf>
    <xf numFmtId="2" fontId="1" fillId="0" borderId="54" xfId="0" applyNumberFormat="1" applyFont="1" applyFill="1" applyBorder="1" applyAlignment="1" applyProtection="1">
      <alignment horizontal="center"/>
    </xf>
    <xf numFmtId="0" fontId="57" fillId="0" borderId="0" xfId="0" applyFont="1" applyFill="1" applyBorder="1" applyAlignment="1" applyProtection="1">
      <alignment horizontal="center" wrapText="1"/>
    </xf>
    <xf numFmtId="0" fontId="57" fillId="0" borderId="55" xfId="0" applyFont="1" applyFill="1" applyBorder="1" applyAlignment="1" applyProtection="1">
      <alignment horizontal="center" wrapText="1"/>
    </xf>
    <xf numFmtId="169" fontId="1" fillId="0" borderId="16" xfId="2" applyNumberFormat="1" applyFont="1" applyFill="1" applyBorder="1" applyAlignment="1" applyProtection="1">
      <alignment horizontal="center"/>
    </xf>
    <xf numFmtId="169" fontId="1" fillId="0" borderId="33" xfId="2" applyNumberFormat="1" applyFont="1" applyFill="1" applyBorder="1" applyAlignment="1" applyProtection="1">
      <alignment horizontal="center"/>
    </xf>
    <xf numFmtId="0" fontId="1" fillId="0" borderId="15" xfId="0" applyFont="1" applyFill="1" applyBorder="1" applyAlignment="1" applyProtection="1">
      <alignment horizontal="center" vertical="top"/>
    </xf>
    <xf numFmtId="0" fontId="1" fillId="0" borderId="18" xfId="0" applyFont="1" applyFill="1" applyBorder="1" applyAlignment="1" applyProtection="1">
      <alignment horizontal="center" vertical="top"/>
    </xf>
    <xf numFmtId="0" fontId="57"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xf>
    <xf numFmtId="169" fontId="1" fillId="3" borderId="16" xfId="2" applyNumberFormat="1" applyFont="1" applyFill="1" applyBorder="1" applyAlignment="1" applyProtection="1">
      <alignment horizontal="right" vertical="top"/>
      <protection locked="0"/>
    </xf>
    <xf numFmtId="169" fontId="1" fillId="3" borderId="33" xfId="2" applyNumberFormat="1" applyFont="1" applyFill="1" applyBorder="1" applyAlignment="1" applyProtection="1">
      <alignment horizontal="right" vertical="top"/>
      <protection locked="0"/>
    </xf>
    <xf numFmtId="170" fontId="1" fillId="3" borderId="16" xfId="1" applyNumberFormat="1" applyFont="1" applyFill="1" applyBorder="1" applyAlignment="1" applyProtection="1">
      <alignment horizontal="center" vertical="top"/>
      <protection locked="0"/>
    </xf>
    <xf numFmtId="170" fontId="1" fillId="3" borderId="33" xfId="1" applyNumberFormat="1" applyFont="1" applyFill="1" applyBorder="1" applyAlignment="1" applyProtection="1">
      <alignment horizontal="center" vertical="top"/>
      <protection locked="0"/>
    </xf>
    <xf numFmtId="170" fontId="1" fillId="0" borderId="16" xfId="1" applyNumberFormat="1" applyFont="1" applyFill="1" applyBorder="1" applyAlignment="1" applyProtection="1">
      <alignment horizontal="center" vertical="top"/>
    </xf>
    <xf numFmtId="170" fontId="1" fillId="0" borderId="33" xfId="1" applyNumberFormat="1" applyFont="1" applyFill="1" applyBorder="1" applyAlignment="1" applyProtection="1">
      <alignment horizontal="center" vertical="top"/>
    </xf>
    <xf numFmtId="0" fontId="1" fillId="0" borderId="15" xfId="0" applyFont="1" applyFill="1" applyBorder="1" applyAlignment="1" applyProtection="1">
      <alignment horizontal="center"/>
    </xf>
    <xf numFmtId="0" fontId="1" fillId="0" borderId="18" xfId="0" applyFont="1" applyFill="1" applyBorder="1" applyAlignment="1" applyProtection="1">
      <alignment horizontal="center"/>
    </xf>
    <xf numFmtId="0" fontId="3" fillId="7" borderId="0" xfId="0" applyFont="1" applyFill="1" applyBorder="1" applyAlignment="1" applyProtection="1">
      <alignment horizontal="center"/>
    </xf>
    <xf numFmtId="0" fontId="4" fillId="7" borderId="0" xfId="0" applyFont="1" applyFill="1" applyAlignment="1" applyProtection="1">
      <alignment horizontal="center"/>
    </xf>
    <xf numFmtId="0" fontId="37" fillId="0" borderId="34" xfId="5" applyFont="1" applyFill="1" applyBorder="1" applyAlignment="1" applyProtection="1">
      <alignment horizontal="center" vertical="center"/>
    </xf>
    <xf numFmtId="0" fontId="37" fillId="0" borderId="0" xfId="5" applyFont="1" applyFill="1" applyBorder="1" applyAlignment="1" applyProtection="1">
      <alignment horizontal="center" vertical="center"/>
    </xf>
    <xf numFmtId="0" fontId="5" fillId="0" borderId="0" xfId="0" applyFont="1" applyFill="1" applyBorder="1" applyAlignment="1" applyProtection="1">
      <alignment horizontal="center" wrapText="1"/>
    </xf>
    <xf numFmtId="0" fontId="40" fillId="0" borderId="0" xfId="0" applyFont="1" applyFill="1" applyBorder="1" applyAlignment="1" applyProtection="1">
      <alignment horizontal="center" vertical="top" textRotation="27"/>
    </xf>
    <xf numFmtId="0" fontId="17" fillId="0" borderId="0" xfId="0" applyFont="1" applyFill="1" applyBorder="1" applyAlignment="1" applyProtection="1">
      <alignment horizontal="center" vertical="top" textRotation="27"/>
    </xf>
    <xf numFmtId="0" fontId="24" fillId="0" borderId="18"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xf>
    <xf numFmtId="0" fontId="37" fillId="0" borderId="34"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85" fillId="0" borderId="0" xfId="0" applyFont="1" applyFill="1" applyBorder="1" applyAlignment="1" applyProtection="1">
      <alignment horizontal="center" vertical="center" wrapText="1"/>
    </xf>
    <xf numFmtId="0" fontId="1" fillId="0" borderId="0" xfId="0" applyFont="1" applyBorder="1" applyAlignment="1" applyProtection="1">
      <alignment horizontal="left" wrapText="1"/>
    </xf>
    <xf numFmtId="0" fontId="44" fillId="0" borderId="0" xfId="0" applyFont="1" applyBorder="1" applyAlignment="1" applyProtection="1">
      <alignment horizontal="center" vertical="top" wrapText="1"/>
    </xf>
  </cellXfs>
  <cellStyles count="8">
    <cellStyle name="Comma" xfId="1" builtinId="3"/>
    <cellStyle name="Currency" xfId="2" builtinId="4"/>
    <cellStyle name="Hyperlink" xfId="3" builtinId="8"/>
    <cellStyle name="Normal" xfId="0" builtinId="0"/>
    <cellStyle name="Normal 2" xfId="4" xr:uid="{00000000-0005-0000-0000-000004000000}"/>
    <cellStyle name="Normal 3" xfId="5" xr:uid="{00000000-0005-0000-0000-000005000000}"/>
    <cellStyle name="Normal_SWRWKSHT" xfId="6" xr:uid="{00000000-0005-0000-0000-000006000000}"/>
    <cellStyle name="Percent" xfId="7" builtinId="5"/>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lor theme="7" tint="0.79998168889431442"/>
        <name val="Cambria"/>
        <scheme val="none"/>
      </font>
    </dxf>
    <dxf>
      <font>
        <color theme="7" tint="0.79998168889431442"/>
        <name val="Cambria"/>
        <scheme val="none"/>
      </font>
    </dxf>
    <dxf>
      <font>
        <color theme="0" tint="-0.14996795556505021"/>
        <name val="Cambria"/>
        <scheme val="none"/>
      </font>
    </dxf>
    <dxf>
      <font>
        <color theme="0" tint="-4.9989318521683403E-2"/>
        <name val="Cambria"/>
        <scheme val="none"/>
      </font>
    </dxf>
    <dxf>
      <font>
        <color theme="7" tint="0.79998168889431442"/>
        <name val="Cambria"/>
        <scheme val="none"/>
      </font>
    </dxf>
    <dxf>
      <font>
        <color theme="7" tint="0.79998168889431442"/>
        <name val="Cambria"/>
        <scheme val="none"/>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428625</xdr:colOff>
      <xdr:row>25</xdr:row>
      <xdr:rowOff>123825</xdr:rowOff>
    </xdr:from>
    <xdr:to>
      <xdr:col>4</xdr:col>
      <xdr:colOff>47625</xdr:colOff>
      <xdr:row>28</xdr:row>
      <xdr:rowOff>28575</xdr:rowOff>
    </xdr:to>
    <xdr:sp macro="" textlink="">
      <xdr:nvSpPr>
        <xdr:cNvPr id="10348" name="AutoShape 236">
          <a:extLst>
            <a:ext uri="{FF2B5EF4-FFF2-40B4-BE49-F238E27FC236}">
              <a16:creationId xmlns:a16="http://schemas.microsoft.com/office/drawing/2014/main" id="{00000000-0008-0000-0200-00006C280000}"/>
            </a:ext>
          </a:extLst>
        </xdr:cNvPr>
        <xdr:cNvSpPr>
          <a:spLocks/>
        </xdr:cNvSpPr>
      </xdr:nvSpPr>
      <xdr:spPr bwMode="auto">
        <a:xfrm>
          <a:off x="1419225" y="4257675"/>
          <a:ext cx="47625" cy="390525"/>
        </a:xfrm>
        <a:prstGeom prst="leftBracket">
          <a:avLst>
            <a:gd name="adj" fmla="val 6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25</xdr:row>
      <xdr:rowOff>114300</xdr:rowOff>
    </xdr:from>
    <xdr:to>
      <xdr:col>6</xdr:col>
      <xdr:colOff>57150</xdr:colOff>
      <xdr:row>28</xdr:row>
      <xdr:rowOff>28575</xdr:rowOff>
    </xdr:to>
    <xdr:sp macro="" textlink="">
      <xdr:nvSpPr>
        <xdr:cNvPr id="10349" name="AutoShape 237">
          <a:extLst>
            <a:ext uri="{FF2B5EF4-FFF2-40B4-BE49-F238E27FC236}">
              <a16:creationId xmlns:a16="http://schemas.microsoft.com/office/drawing/2014/main" id="{00000000-0008-0000-0200-00006D280000}"/>
            </a:ext>
          </a:extLst>
        </xdr:cNvPr>
        <xdr:cNvSpPr>
          <a:spLocks/>
        </xdr:cNvSpPr>
      </xdr:nvSpPr>
      <xdr:spPr bwMode="auto">
        <a:xfrm>
          <a:off x="2257425" y="4248150"/>
          <a:ext cx="57150" cy="400050"/>
        </a:xfrm>
        <a:prstGeom prst="rightBracket">
          <a:avLst>
            <a:gd name="adj" fmla="val 229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352425</xdr:colOff>
      <xdr:row>32</xdr:row>
      <xdr:rowOff>47625</xdr:rowOff>
    </xdr:from>
    <xdr:to>
      <xdr:col>7</xdr:col>
      <xdr:colOff>447675</xdr:colOff>
      <xdr:row>45</xdr:row>
      <xdr:rowOff>9525</xdr:rowOff>
    </xdr:to>
    <xdr:sp macro="" textlink="">
      <xdr:nvSpPr>
        <xdr:cNvPr id="10350" name="AutoShape 239">
          <a:extLst>
            <a:ext uri="{FF2B5EF4-FFF2-40B4-BE49-F238E27FC236}">
              <a16:creationId xmlns:a16="http://schemas.microsoft.com/office/drawing/2014/main" id="{00000000-0008-0000-0200-00006E280000}"/>
            </a:ext>
          </a:extLst>
        </xdr:cNvPr>
        <xdr:cNvSpPr>
          <a:spLocks/>
        </xdr:cNvSpPr>
      </xdr:nvSpPr>
      <xdr:spPr bwMode="auto">
        <a:xfrm>
          <a:off x="3028950" y="5314950"/>
          <a:ext cx="66675" cy="2800350"/>
        </a:xfrm>
        <a:prstGeom prst="leftBracket">
          <a:avLst>
            <a:gd name="adj" fmla="val 3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39</xdr:row>
      <xdr:rowOff>9525</xdr:rowOff>
    </xdr:from>
    <xdr:to>
      <xdr:col>7</xdr:col>
      <xdr:colOff>114300</xdr:colOff>
      <xdr:row>39</xdr:row>
      <xdr:rowOff>19050</xdr:rowOff>
    </xdr:to>
    <xdr:sp macro="" textlink="">
      <xdr:nvSpPr>
        <xdr:cNvPr id="10351" name="Line 241">
          <a:extLst>
            <a:ext uri="{FF2B5EF4-FFF2-40B4-BE49-F238E27FC236}">
              <a16:creationId xmlns:a16="http://schemas.microsoft.com/office/drawing/2014/main" id="{00000000-0008-0000-0200-00006F280000}"/>
            </a:ext>
          </a:extLst>
        </xdr:cNvPr>
        <xdr:cNvSpPr>
          <a:spLocks noChangeShapeType="1"/>
        </xdr:cNvSpPr>
      </xdr:nvSpPr>
      <xdr:spPr bwMode="auto">
        <a:xfrm flipH="1" flipV="1">
          <a:off x="2362200" y="6810375"/>
          <a:ext cx="428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171450</xdr:colOff>
      <xdr:row>32</xdr:row>
      <xdr:rowOff>47625</xdr:rowOff>
    </xdr:from>
    <xdr:to>
      <xdr:col>10</xdr:col>
      <xdr:colOff>276225</xdr:colOff>
      <xdr:row>45</xdr:row>
      <xdr:rowOff>9525</xdr:rowOff>
    </xdr:to>
    <xdr:sp macro="" textlink="">
      <xdr:nvSpPr>
        <xdr:cNvPr id="10352" name="AutoShape 239">
          <a:extLst>
            <a:ext uri="{FF2B5EF4-FFF2-40B4-BE49-F238E27FC236}">
              <a16:creationId xmlns:a16="http://schemas.microsoft.com/office/drawing/2014/main" id="{00000000-0008-0000-0200-000070280000}"/>
            </a:ext>
          </a:extLst>
        </xdr:cNvPr>
        <xdr:cNvSpPr>
          <a:spLocks/>
        </xdr:cNvSpPr>
      </xdr:nvSpPr>
      <xdr:spPr bwMode="auto">
        <a:xfrm flipH="1">
          <a:off x="4105275" y="5314950"/>
          <a:ext cx="104775" cy="2800350"/>
        </a:xfrm>
        <a:prstGeom prst="leftBracket">
          <a:avLst>
            <a:gd name="adj" fmla="val 272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18</xdr:row>
      <xdr:rowOff>114300</xdr:rowOff>
    </xdr:from>
    <xdr:to>
      <xdr:col>3</xdr:col>
      <xdr:colOff>9525</xdr:colOff>
      <xdr:row>19</xdr:row>
      <xdr:rowOff>28576</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bwMode="auto">
        <a:xfrm flipV="1">
          <a:off x="847725" y="3114675"/>
          <a:ext cx="161925" cy="7620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304800</xdr:colOff>
      <xdr:row>28</xdr:row>
      <xdr:rowOff>0</xdr:rowOff>
    </xdr:from>
    <xdr:to>
      <xdr:col>4</xdr:col>
      <xdr:colOff>304800</xdr:colOff>
      <xdr:row>28</xdr:row>
      <xdr:rowOff>0</xdr:rowOff>
    </xdr:to>
    <xdr:sp macro="" textlink="">
      <xdr:nvSpPr>
        <xdr:cNvPr id="1325" name="Line 3">
          <a:extLst>
            <a:ext uri="{FF2B5EF4-FFF2-40B4-BE49-F238E27FC236}">
              <a16:creationId xmlns:a16="http://schemas.microsoft.com/office/drawing/2014/main" id="{00000000-0008-0000-0400-00002D050000}"/>
            </a:ext>
          </a:extLst>
        </xdr:cNvPr>
        <xdr:cNvSpPr>
          <a:spLocks noChangeShapeType="1"/>
        </xdr:cNvSpPr>
      </xdr:nvSpPr>
      <xdr:spPr bwMode="auto">
        <a:xfrm>
          <a:off x="2400300" y="4543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304800</xdr:colOff>
      <xdr:row>11</xdr:row>
      <xdr:rowOff>28575</xdr:rowOff>
    </xdr:from>
    <xdr:to>
      <xdr:col>8</xdr:col>
      <xdr:colOff>209550</xdr:colOff>
      <xdr:row>14</xdr:row>
      <xdr:rowOff>28575</xdr:rowOff>
    </xdr:to>
    <xdr:sp macro="" textlink="">
      <xdr:nvSpPr>
        <xdr:cNvPr id="1326" name="Line 4">
          <a:extLst>
            <a:ext uri="{FF2B5EF4-FFF2-40B4-BE49-F238E27FC236}">
              <a16:creationId xmlns:a16="http://schemas.microsoft.com/office/drawing/2014/main" id="{00000000-0008-0000-0400-00002E050000}"/>
            </a:ext>
          </a:extLst>
        </xdr:cNvPr>
        <xdr:cNvSpPr>
          <a:spLocks noChangeShapeType="1"/>
        </xdr:cNvSpPr>
      </xdr:nvSpPr>
      <xdr:spPr bwMode="auto">
        <a:xfrm flipH="1">
          <a:off x="4229100" y="1819275"/>
          <a:ext cx="514350" cy="485775"/>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11</xdr:row>
      <xdr:rowOff>38100</xdr:rowOff>
    </xdr:from>
    <xdr:to>
      <xdr:col>9</xdr:col>
      <xdr:colOff>190500</xdr:colOff>
      <xdr:row>11</xdr:row>
      <xdr:rowOff>38100</xdr:rowOff>
    </xdr:to>
    <xdr:sp macro="" textlink="">
      <xdr:nvSpPr>
        <xdr:cNvPr id="1327" name="Line 5">
          <a:extLst>
            <a:ext uri="{FF2B5EF4-FFF2-40B4-BE49-F238E27FC236}">
              <a16:creationId xmlns:a16="http://schemas.microsoft.com/office/drawing/2014/main" id="{00000000-0008-0000-0400-00002F050000}"/>
            </a:ext>
          </a:extLst>
        </xdr:cNvPr>
        <xdr:cNvSpPr>
          <a:spLocks noChangeShapeType="1"/>
        </xdr:cNvSpPr>
      </xdr:nvSpPr>
      <xdr:spPr bwMode="auto">
        <a:xfrm>
          <a:off x="4752975" y="182880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11</xdr:row>
      <xdr:rowOff>28575</xdr:rowOff>
    </xdr:from>
    <xdr:to>
      <xdr:col>10</xdr:col>
      <xdr:colOff>28575</xdr:colOff>
      <xdr:row>13</xdr:row>
      <xdr:rowOff>152400</xdr:rowOff>
    </xdr:to>
    <xdr:sp macro="" textlink="">
      <xdr:nvSpPr>
        <xdr:cNvPr id="1328" name="Line 6">
          <a:extLst>
            <a:ext uri="{FF2B5EF4-FFF2-40B4-BE49-F238E27FC236}">
              <a16:creationId xmlns:a16="http://schemas.microsoft.com/office/drawing/2014/main" id="{00000000-0008-0000-0400-000030050000}"/>
            </a:ext>
          </a:extLst>
        </xdr:cNvPr>
        <xdr:cNvSpPr>
          <a:spLocks noChangeShapeType="1"/>
        </xdr:cNvSpPr>
      </xdr:nvSpPr>
      <xdr:spPr bwMode="auto">
        <a:xfrm>
          <a:off x="5343525" y="1819275"/>
          <a:ext cx="438150" cy="447675"/>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400050</xdr:colOff>
      <xdr:row>11</xdr:row>
      <xdr:rowOff>28575</xdr:rowOff>
    </xdr:from>
    <xdr:to>
      <xdr:col>8</xdr:col>
      <xdr:colOff>200025</xdr:colOff>
      <xdr:row>14</xdr:row>
      <xdr:rowOff>38100</xdr:rowOff>
    </xdr:to>
    <xdr:sp macro="" textlink="">
      <xdr:nvSpPr>
        <xdr:cNvPr id="1329" name="Line 7">
          <a:extLst>
            <a:ext uri="{FF2B5EF4-FFF2-40B4-BE49-F238E27FC236}">
              <a16:creationId xmlns:a16="http://schemas.microsoft.com/office/drawing/2014/main" id="{00000000-0008-0000-0400-000031050000}"/>
            </a:ext>
          </a:extLst>
        </xdr:cNvPr>
        <xdr:cNvSpPr>
          <a:spLocks noChangeShapeType="1"/>
        </xdr:cNvSpPr>
      </xdr:nvSpPr>
      <xdr:spPr bwMode="auto">
        <a:xfrm flipH="1">
          <a:off x="3714750" y="1819275"/>
          <a:ext cx="10191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11</xdr:row>
      <xdr:rowOff>28575</xdr:rowOff>
    </xdr:from>
    <xdr:to>
      <xdr:col>11</xdr:col>
      <xdr:colOff>28575</xdr:colOff>
      <xdr:row>13</xdr:row>
      <xdr:rowOff>161925</xdr:rowOff>
    </xdr:to>
    <xdr:sp macro="" textlink="">
      <xdr:nvSpPr>
        <xdr:cNvPr id="1330" name="Line 8">
          <a:extLst>
            <a:ext uri="{FF2B5EF4-FFF2-40B4-BE49-F238E27FC236}">
              <a16:creationId xmlns:a16="http://schemas.microsoft.com/office/drawing/2014/main" id="{00000000-0008-0000-0400-000032050000}"/>
            </a:ext>
          </a:extLst>
        </xdr:cNvPr>
        <xdr:cNvSpPr>
          <a:spLocks noChangeShapeType="1"/>
        </xdr:cNvSpPr>
      </xdr:nvSpPr>
      <xdr:spPr bwMode="auto">
        <a:xfrm>
          <a:off x="5343525" y="1819275"/>
          <a:ext cx="10477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13</xdr:row>
      <xdr:rowOff>161925</xdr:rowOff>
    </xdr:from>
    <xdr:to>
      <xdr:col>11</xdr:col>
      <xdr:colOff>28575</xdr:colOff>
      <xdr:row>14</xdr:row>
      <xdr:rowOff>38100</xdr:rowOff>
    </xdr:to>
    <xdr:sp macro="" textlink="">
      <xdr:nvSpPr>
        <xdr:cNvPr id="1331" name="Line 9">
          <a:extLst>
            <a:ext uri="{FF2B5EF4-FFF2-40B4-BE49-F238E27FC236}">
              <a16:creationId xmlns:a16="http://schemas.microsoft.com/office/drawing/2014/main" id="{00000000-0008-0000-0400-000033050000}"/>
            </a:ext>
          </a:extLst>
        </xdr:cNvPr>
        <xdr:cNvSpPr>
          <a:spLocks noChangeShapeType="1"/>
        </xdr:cNvSpPr>
      </xdr:nvSpPr>
      <xdr:spPr bwMode="auto">
        <a:xfrm flipV="1">
          <a:off x="3705225" y="2276475"/>
          <a:ext cx="268605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10</xdr:row>
      <xdr:rowOff>9525</xdr:rowOff>
    </xdr:from>
    <xdr:to>
      <xdr:col>9</xdr:col>
      <xdr:colOff>219075</xdr:colOff>
      <xdr:row>11</xdr:row>
      <xdr:rowOff>28575</xdr:rowOff>
    </xdr:to>
    <xdr:sp macro="" textlink="">
      <xdr:nvSpPr>
        <xdr:cNvPr id="1332" name="AutoShape 11">
          <a:extLst>
            <a:ext uri="{FF2B5EF4-FFF2-40B4-BE49-F238E27FC236}">
              <a16:creationId xmlns:a16="http://schemas.microsoft.com/office/drawing/2014/main" id="{00000000-0008-0000-0400-000034050000}"/>
            </a:ext>
          </a:extLst>
        </xdr:cNvPr>
        <xdr:cNvSpPr>
          <a:spLocks noChangeArrowheads="1"/>
        </xdr:cNvSpPr>
      </xdr:nvSpPr>
      <xdr:spPr bwMode="auto">
        <a:xfrm>
          <a:off x="5314950" y="1638300"/>
          <a:ext cx="47625" cy="180975"/>
        </a:xfrm>
        <a:prstGeom prst="leftArrowCallout">
          <a:avLst>
            <a:gd name="adj1" fmla="val 95000"/>
            <a:gd name="adj2" fmla="val 90004"/>
            <a:gd name="adj3" fmla="val 16667"/>
            <a:gd name="adj4" fmla="val 66667"/>
          </a:avLst>
        </a:prstGeom>
        <a:solidFill>
          <a:srgbClr val="FFFFFF"/>
        </a:solidFill>
        <a:ln w="9525">
          <a:solidFill>
            <a:srgbClr val="000000"/>
          </a:solidFill>
          <a:miter lim="800000"/>
          <a:headEnd/>
          <a:tailEnd/>
        </a:ln>
      </xdr:spPr>
    </xdr:sp>
    <xdr:clientData/>
  </xdr:twoCellAnchor>
  <xdr:twoCellAnchor>
    <xdr:from>
      <xdr:col>7</xdr:col>
      <xdr:colOff>485775</xdr:colOff>
      <xdr:row>13</xdr:row>
      <xdr:rowOff>19050</xdr:rowOff>
    </xdr:from>
    <xdr:to>
      <xdr:col>9</xdr:col>
      <xdr:colOff>504825</xdr:colOff>
      <xdr:row>13</xdr:row>
      <xdr:rowOff>28575</xdr:rowOff>
    </xdr:to>
    <xdr:cxnSp macro="">
      <xdr:nvCxnSpPr>
        <xdr:cNvPr id="1333" name="Straight Arrow Connector 12">
          <a:extLst>
            <a:ext uri="{FF2B5EF4-FFF2-40B4-BE49-F238E27FC236}">
              <a16:creationId xmlns:a16="http://schemas.microsoft.com/office/drawing/2014/main" id="{00000000-0008-0000-0400-000035050000}"/>
            </a:ext>
          </a:extLst>
        </xdr:cNvPr>
        <xdr:cNvCxnSpPr>
          <a:cxnSpLocks noChangeShapeType="1"/>
        </xdr:cNvCxnSpPr>
      </xdr:nvCxnSpPr>
      <xdr:spPr bwMode="auto">
        <a:xfrm>
          <a:off x="4410075" y="2133600"/>
          <a:ext cx="1238250" cy="9525"/>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333375</xdr:colOff>
      <xdr:row>11</xdr:row>
      <xdr:rowOff>0</xdr:rowOff>
    </xdr:from>
    <xdr:to>
      <xdr:col>10</xdr:col>
      <xdr:colOff>333375</xdr:colOff>
      <xdr:row>13</xdr:row>
      <xdr:rowOff>152400</xdr:rowOff>
    </xdr:to>
    <xdr:cxnSp macro="">
      <xdr:nvCxnSpPr>
        <xdr:cNvPr id="1334" name="Straight Arrow Connector 11">
          <a:extLst>
            <a:ext uri="{FF2B5EF4-FFF2-40B4-BE49-F238E27FC236}">
              <a16:creationId xmlns:a16="http://schemas.microsoft.com/office/drawing/2014/main" id="{00000000-0008-0000-0400-000036050000}"/>
            </a:ext>
          </a:extLst>
        </xdr:cNvPr>
        <xdr:cNvCxnSpPr>
          <a:cxnSpLocks noChangeShapeType="1"/>
        </xdr:cNvCxnSpPr>
      </xdr:nvCxnSpPr>
      <xdr:spPr bwMode="auto">
        <a:xfrm rot="5400000" flipH="1" flipV="1">
          <a:off x="5848350" y="2028825"/>
          <a:ext cx="476250" cy="0"/>
        </a:xfrm>
        <a:prstGeom prst="straightConnector1">
          <a:avLst/>
        </a:prstGeom>
        <a:noFill/>
        <a:ln w="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sheetPr>
  <dimension ref="A1:AT335"/>
  <sheetViews>
    <sheetView showGridLines="0" tabSelected="1" zoomScale="91" zoomScaleNormal="91" workbookViewId="0">
      <selection activeCell="F8" sqref="F8"/>
    </sheetView>
  </sheetViews>
  <sheetFormatPr defaultRowHeight="12" customHeight="1" x14ac:dyDescent="0.2"/>
  <cols>
    <col min="1" max="1" width="4.5703125" style="57" customWidth="1"/>
    <col min="2" max="2" width="5.140625" style="1" customWidth="1"/>
    <col min="3" max="3" width="4.140625" style="1" customWidth="1"/>
    <col min="4" max="4" width="9.140625" style="1"/>
    <col min="5" max="6" width="9.28515625" style="1" bestFit="1" customWidth="1"/>
    <col min="7" max="7" width="9.140625" style="1"/>
    <col min="8" max="8" width="9.28515625" style="4" bestFit="1" customWidth="1"/>
    <col min="9" max="10" width="9.28515625" style="1" bestFit="1" customWidth="1"/>
    <col min="11" max="11" width="9.28515625" style="1" customWidth="1"/>
    <col min="12" max="12" width="5.85546875" style="1" customWidth="1"/>
    <col min="13" max="13" width="5.7109375" style="1" customWidth="1"/>
    <col min="14" max="23" width="6.7109375" style="44" customWidth="1"/>
    <col min="24" max="24" width="9.140625" style="44"/>
    <col min="25" max="25" width="7.85546875" style="44" customWidth="1"/>
    <col min="26" max="26" width="8.140625" style="44" customWidth="1"/>
    <col min="27" max="16384" width="9.140625" style="44"/>
  </cols>
  <sheetData>
    <row r="1" spans="2:27" s="57" customFormat="1" ht="12" customHeight="1" x14ac:dyDescent="0.2"/>
    <row r="2" spans="2:27" s="57" customFormat="1" ht="12" customHeight="1" thickBot="1" x14ac:dyDescent="0.25"/>
    <row r="3" spans="2:27" s="57" customFormat="1" ht="12" customHeight="1" x14ac:dyDescent="0.2">
      <c r="B3" s="135"/>
      <c r="C3" s="136"/>
      <c r="D3" s="136"/>
      <c r="E3" s="136"/>
      <c r="F3" s="136"/>
      <c r="G3" s="136"/>
      <c r="H3" s="136"/>
      <c r="I3" s="136"/>
      <c r="J3" s="136"/>
      <c r="K3" s="136"/>
      <c r="L3" s="136"/>
      <c r="M3" s="137"/>
    </row>
    <row r="4" spans="2:27" ht="12" customHeight="1" x14ac:dyDescent="0.25">
      <c r="B4" s="66"/>
      <c r="C4" s="446" t="s">
        <v>27</v>
      </c>
      <c r="D4" s="446"/>
      <c r="E4" s="446"/>
      <c r="F4" s="449"/>
      <c r="G4" s="450"/>
      <c r="H4" s="355"/>
      <c r="I4" s="355"/>
      <c r="J4" s="453" t="s">
        <v>198</v>
      </c>
      <c r="K4" s="454"/>
      <c r="L4" s="454"/>
      <c r="M4" s="455"/>
      <c r="T4" s="57" t="str">
        <f>IF(OR(F4="Adams",F4="Chelan",F4="Douglas",F4="Ferry",F4="Grant",F4="Lincoln",F4="Okanogan",F4="Pend Oreille",F4="Spokane",F4="Stevens",F4="Whitman"),"NE",T5)</f>
        <v>?County Name?</v>
      </c>
    </row>
    <row r="5" spans="2:27" ht="12" customHeight="1" x14ac:dyDescent="0.2">
      <c r="B5" s="66"/>
      <c r="C5" s="462" t="s">
        <v>240</v>
      </c>
      <c r="D5" s="462"/>
      <c r="E5" s="463"/>
      <c r="F5" s="456" t="s">
        <v>235</v>
      </c>
      <c r="G5" s="457"/>
      <c r="H5" s="457"/>
      <c r="I5" s="458"/>
      <c r="J5" s="454"/>
      <c r="K5" s="454"/>
      <c r="L5" s="454"/>
      <c r="M5" s="455"/>
      <c r="T5" s="57" t="str">
        <f>IF(OR(F4="Clallam",F4="Island",F4="Jefferson",F4="Kitsap",F4="San Juan",F4="Skagit",F4="Whatcom"),"NW",T7)</f>
        <v>?County Name?</v>
      </c>
    </row>
    <row r="6" spans="2:27" ht="12" customHeight="1" x14ac:dyDescent="0.2">
      <c r="B6" s="66"/>
      <c r="C6" s="462"/>
      <c r="D6" s="462"/>
      <c r="E6" s="463"/>
      <c r="F6" s="459"/>
      <c r="G6" s="460"/>
      <c r="H6" s="460"/>
      <c r="I6" s="461"/>
      <c r="J6" s="454"/>
      <c r="K6" s="454"/>
      <c r="L6" s="454"/>
      <c r="M6" s="455"/>
      <c r="T6" s="57"/>
    </row>
    <row r="7" spans="2:27" ht="12" customHeight="1" x14ac:dyDescent="0.2">
      <c r="B7" s="66"/>
      <c r="C7" s="133" t="s">
        <v>109</v>
      </c>
      <c r="D7" s="133"/>
      <c r="E7" s="133"/>
      <c r="F7" s="288"/>
      <c r="G7" s="248" t="s">
        <v>211</v>
      </c>
      <c r="H7" s="249"/>
      <c r="I7" s="249"/>
      <c r="J7" s="454"/>
      <c r="K7" s="454"/>
      <c r="L7" s="454"/>
      <c r="M7" s="455"/>
      <c r="T7" s="57" t="str">
        <f>IF(OR(F4="King",F4="Pierce",F4="Snohomish"),"PS",T8)</f>
        <v>?County Name?</v>
      </c>
    </row>
    <row r="8" spans="2:27" ht="12" customHeight="1" x14ac:dyDescent="0.2">
      <c r="B8" s="66"/>
      <c r="C8" s="133" t="s">
        <v>212</v>
      </c>
      <c r="D8" s="133"/>
      <c r="E8" s="133"/>
      <c r="F8" s="434"/>
      <c r="G8" s="250" t="s">
        <v>213</v>
      </c>
      <c r="H8" s="159"/>
      <c r="I8" s="159"/>
      <c r="J8" s="454"/>
      <c r="K8" s="454"/>
      <c r="L8" s="454"/>
      <c r="M8" s="455"/>
      <c r="T8" s="57" t="str">
        <f>IF(OR(F4="Asotin",F4="Benton",F4="Columbia",F4="Franklin",F4="Garfield",F4="Kittitas",F4="Klickitat",F4="Walla Walla",F4="Yakima"),"SE",T9)</f>
        <v>?County Name?</v>
      </c>
    </row>
    <row r="9" spans="2:27" ht="12" customHeight="1" x14ac:dyDescent="0.2">
      <c r="B9" s="66"/>
      <c r="C9" s="18"/>
      <c r="D9" s="18"/>
      <c r="E9" s="18"/>
      <c r="F9" s="433"/>
      <c r="G9" s="15"/>
      <c r="H9" s="10"/>
      <c r="I9" s="5"/>
      <c r="J9" s="464" t="s">
        <v>239</v>
      </c>
      <c r="K9" s="464"/>
      <c r="L9" s="464"/>
      <c r="M9" s="175"/>
      <c r="T9" s="57" t="str">
        <f>IF(OR(F4="Clark",F4="Cowlitz",F4="Grays Harbor",F4="Lewis",F4="Mason",F4="Pacific",F4="Skamania",F4="Thurston",F4="Wahkiakum"),"SW","?County Name?")</f>
        <v>?County Name?</v>
      </c>
    </row>
    <row r="10" spans="2:27" ht="12" customHeight="1" x14ac:dyDescent="0.2">
      <c r="B10" s="66"/>
      <c r="C10" s="18"/>
      <c r="D10" s="18"/>
      <c r="E10" s="18"/>
      <c r="F10" s="435"/>
      <c r="G10" s="435"/>
      <c r="H10" s="10"/>
      <c r="I10" s="5"/>
      <c r="J10" s="464"/>
      <c r="K10" s="464"/>
      <c r="L10" s="464"/>
      <c r="M10" s="175"/>
    </row>
    <row r="11" spans="2:27" ht="12" customHeight="1" x14ac:dyDescent="0.2">
      <c r="B11" s="66"/>
      <c r="C11" s="5"/>
      <c r="D11" s="15"/>
      <c r="E11" s="15"/>
      <c r="F11" s="445" t="s">
        <v>102</v>
      </c>
      <c r="G11" s="445"/>
      <c r="H11" s="445"/>
      <c r="I11" s="445"/>
      <c r="J11" s="174"/>
      <c r="K11" s="465" t="e">
        <f>K56</f>
        <v>#DIV/0!</v>
      </c>
      <c r="L11" s="174"/>
      <c r="M11" s="175"/>
    </row>
    <row r="12" spans="2:27" ht="12" customHeight="1" x14ac:dyDescent="0.2">
      <c r="B12" s="66"/>
      <c r="C12" s="15"/>
      <c r="D12" s="5"/>
      <c r="E12" s="5"/>
      <c r="F12" s="445"/>
      <c r="G12" s="445"/>
      <c r="H12" s="445"/>
      <c r="I12" s="445"/>
      <c r="J12" s="174"/>
      <c r="K12" s="466"/>
      <c r="L12" s="174"/>
      <c r="M12" s="175"/>
    </row>
    <row r="13" spans="2:27" ht="12" customHeight="1" x14ac:dyDescent="0.2">
      <c r="B13" s="66"/>
      <c r="C13" s="20"/>
      <c r="D13" s="20"/>
      <c r="E13" s="5"/>
      <c r="F13" s="162" t="s">
        <v>103</v>
      </c>
      <c r="G13" s="162"/>
      <c r="H13" s="20"/>
      <c r="I13" s="10"/>
      <c r="J13" s="20"/>
      <c r="K13" s="20"/>
      <c r="L13" s="5"/>
      <c r="M13" s="59"/>
    </row>
    <row r="14" spans="2:27" ht="12" customHeight="1" x14ac:dyDescent="0.2">
      <c r="B14" s="66"/>
      <c r="C14" s="144"/>
      <c r="D14" s="3"/>
      <c r="E14" s="144"/>
      <c r="F14" s="144"/>
      <c r="G14" s="144"/>
      <c r="H14" s="144"/>
      <c r="I14" s="145"/>
      <c r="J14" s="145"/>
      <c r="K14" s="145"/>
      <c r="L14" s="144"/>
      <c r="M14" s="59"/>
    </row>
    <row r="15" spans="2:27" ht="12" customHeight="1" x14ac:dyDescent="0.2">
      <c r="B15" s="66"/>
      <c r="C15" s="5"/>
      <c r="D15" s="25"/>
      <c r="E15" s="15"/>
      <c r="F15" s="15"/>
      <c r="G15" s="15"/>
      <c r="H15" s="15"/>
      <c r="I15" s="10" t="s">
        <v>0</v>
      </c>
      <c r="J15" s="10"/>
      <c r="K15" s="10" t="s">
        <v>151</v>
      </c>
      <c r="L15" s="5"/>
      <c r="M15" s="59"/>
      <c r="AA15" s="45"/>
    </row>
    <row r="16" spans="2:27" ht="12" customHeight="1" x14ac:dyDescent="0.2">
      <c r="B16" s="78"/>
      <c r="C16" s="5"/>
      <c r="D16" s="153" t="s">
        <v>39</v>
      </c>
      <c r="E16" s="15"/>
      <c r="F16" s="35" t="s">
        <v>82</v>
      </c>
      <c r="G16" s="15"/>
      <c r="H16" s="15"/>
      <c r="I16" s="17" t="s">
        <v>1</v>
      </c>
      <c r="J16" s="17"/>
      <c r="K16" s="17" t="s">
        <v>1</v>
      </c>
      <c r="L16" s="5"/>
      <c r="M16" s="59"/>
      <c r="AA16" s="45"/>
    </row>
    <row r="17" spans="2:30" ht="12" customHeight="1" x14ac:dyDescent="0.2">
      <c r="B17" s="78"/>
      <c r="C17" s="11"/>
      <c r="D17" s="20"/>
      <c r="E17" s="5"/>
      <c r="F17" s="5"/>
      <c r="G17" s="20"/>
      <c r="H17" s="5"/>
      <c r="I17" s="10"/>
      <c r="J17" s="10"/>
      <c r="K17" s="16"/>
      <c r="L17" s="5"/>
      <c r="M17" s="59"/>
      <c r="AA17" s="46"/>
    </row>
    <row r="18" spans="2:30" ht="12" customHeight="1" x14ac:dyDescent="0.2">
      <c r="B18" s="78"/>
      <c r="C18" s="5"/>
      <c r="D18" s="5"/>
      <c r="E18" s="444" t="s">
        <v>40</v>
      </c>
      <c r="F18" s="444"/>
      <c r="G18" s="33"/>
      <c r="H18" s="5"/>
      <c r="I18" s="10">
        <v>5</v>
      </c>
      <c r="J18" s="10"/>
      <c r="K18" s="13">
        <f>'TRAFFIC &amp; ACCIDENTS'!L45</f>
        <v>0</v>
      </c>
      <c r="L18" s="5"/>
      <c r="M18" s="59"/>
      <c r="AA18" s="47"/>
      <c r="AB18" s="48"/>
    </row>
    <row r="19" spans="2:30" ht="12" customHeight="1" x14ac:dyDescent="0.2">
      <c r="B19" s="66"/>
      <c r="C19" s="5"/>
      <c r="D19" s="5"/>
      <c r="E19" s="444" t="s">
        <v>41</v>
      </c>
      <c r="F19" s="444"/>
      <c r="G19" s="444"/>
      <c r="H19" s="5"/>
      <c r="I19" s="16">
        <v>5</v>
      </c>
      <c r="J19" s="10"/>
      <c r="K19" s="13">
        <f>IF('TRAFFIC &amp; ACCIDENTS'!L65&gt;5,5,'TRAFFIC &amp; ACCIDENTS'!L65)</f>
        <v>0</v>
      </c>
      <c r="L19" s="5"/>
      <c r="M19" s="59"/>
      <c r="AD19" s="49"/>
    </row>
    <row r="20" spans="2:30" ht="12" customHeight="1" x14ac:dyDescent="0.2">
      <c r="B20" s="66"/>
      <c r="C20" s="5"/>
      <c r="D20" s="5"/>
      <c r="E20" s="20"/>
      <c r="F20" s="5"/>
      <c r="G20" s="291" t="s">
        <v>237</v>
      </c>
      <c r="H20" s="67" t="s">
        <v>3</v>
      </c>
      <c r="I20" s="150">
        <f>SUM(I18:I19)</f>
        <v>10</v>
      </c>
      <c r="J20" s="9"/>
      <c r="K20" s="79">
        <f>SUM(K18:K19)</f>
        <v>0</v>
      </c>
      <c r="L20" s="5"/>
      <c r="M20" s="59"/>
      <c r="AD20" s="49"/>
    </row>
    <row r="21" spans="2:30" ht="12" customHeight="1" thickBot="1" x14ac:dyDescent="0.25">
      <c r="B21" s="66"/>
      <c r="C21" s="138"/>
      <c r="D21" s="138"/>
      <c r="E21" s="138"/>
      <c r="F21" s="138"/>
      <c r="G21" s="154"/>
      <c r="H21" s="155"/>
      <c r="I21" s="139"/>
      <c r="J21" s="139"/>
      <c r="K21" s="86"/>
      <c r="L21" s="138"/>
      <c r="M21" s="59"/>
      <c r="AD21" s="49"/>
    </row>
    <row r="22" spans="2:30" ht="12" customHeight="1" thickTop="1" x14ac:dyDescent="0.2">
      <c r="B22" s="66"/>
      <c r="C22" s="5"/>
      <c r="D22" s="5"/>
      <c r="E22" s="5"/>
      <c r="F22" s="5"/>
      <c r="G22" s="33"/>
      <c r="H22" s="160"/>
      <c r="I22" s="9"/>
      <c r="J22" s="9"/>
      <c r="K22" s="79"/>
      <c r="L22" s="160"/>
      <c r="M22" s="59"/>
      <c r="AD22" s="49"/>
    </row>
    <row r="23" spans="2:30" ht="12" customHeight="1" x14ac:dyDescent="0.2">
      <c r="B23" s="66"/>
      <c r="C23" s="5"/>
      <c r="D23" s="5"/>
      <c r="E23" s="5"/>
      <c r="F23" s="5"/>
      <c r="G23" s="33"/>
      <c r="H23" s="161"/>
      <c r="I23" s="9"/>
      <c r="J23" s="10"/>
      <c r="K23" s="80"/>
      <c r="L23" s="161"/>
      <c r="M23" s="59"/>
      <c r="AA23" s="50"/>
      <c r="AD23" s="51"/>
    </row>
    <row r="24" spans="2:30" ht="12" customHeight="1" x14ac:dyDescent="0.35">
      <c r="B24" s="66"/>
      <c r="C24" s="5"/>
      <c r="D24" s="170" t="s">
        <v>24</v>
      </c>
      <c r="E24" s="171"/>
      <c r="F24" s="171"/>
      <c r="G24" s="172" t="s">
        <v>112</v>
      </c>
      <c r="H24" s="169"/>
      <c r="I24" s="169"/>
      <c r="J24" s="17"/>
      <c r="K24" s="173"/>
      <c r="L24" s="173"/>
      <c r="M24" s="59"/>
      <c r="AA24" s="50"/>
      <c r="AD24" s="51"/>
    </row>
    <row r="25" spans="2:30" ht="12" customHeight="1" x14ac:dyDescent="0.35">
      <c r="B25" s="66"/>
      <c r="C25" s="5"/>
      <c r="D25" s="20"/>
      <c r="E25" s="20"/>
      <c r="H25" s="169"/>
      <c r="I25" s="169"/>
      <c r="J25" s="5"/>
      <c r="K25" s="173"/>
      <c r="L25" s="173"/>
      <c r="M25" s="59"/>
      <c r="AA25" s="52"/>
      <c r="AD25" s="49"/>
    </row>
    <row r="26" spans="2:30" ht="12" customHeight="1" x14ac:dyDescent="0.2">
      <c r="B26" s="66"/>
      <c r="C26" s="5"/>
      <c r="D26" s="11"/>
      <c r="E26" s="158" t="s">
        <v>108</v>
      </c>
      <c r="F26" s="162"/>
      <c r="G26" s="162"/>
      <c r="I26" s="4">
        <v>40</v>
      </c>
      <c r="J26" s="134"/>
      <c r="K26" s="266">
        <f>IF(STRUCTURE!E7&gt;40,"too high",STRUCTURE!E7)</f>
        <v>0</v>
      </c>
      <c r="L26" s="162"/>
      <c r="M26" s="59"/>
      <c r="AA26" s="52"/>
      <c r="AD26" s="49"/>
    </row>
    <row r="27" spans="2:30" ht="12" customHeight="1" x14ac:dyDescent="0.2">
      <c r="B27" s="66"/>
      <c r="C27" s="5"/>
      <c r="D27" s="5"/>
      <c r="E27" s="451" t="s">
        <v>117</v>
      </c>
      <c r="F27" s="452"/>
      <c r="G27" s="452"/>
      <c r="I27" s="4">
        <v>10</v>
      </c>
      <c r="J27" s="134"/>
      <c r="K27" s="266" t="e">
        <f>STRUCTURE!M16</f>
        <v>#DIV/0!</v>
      </c>
      <c r="L27" s="447"/>
      <c r="M27" s="448"/>
      <c r="AA27" s="52"/>
    </row>
    <row r="28" spans="2:30" ht="12" customHeight="1" x14ac:dyDescent="0.2">
      <c r="B28" s="66"/>
      <c r="C28" s="5"/>
      <c r="D28" s="5"/>
      <c r="E28" s="452"/>
      <c r="F28" s="452"/>
      <c r="G28" s="452"/>
      <c r="I28" s="4"/>
      <c r="J28" s="113"/>
      <c r="K28" s="432"/>
      <c r="L28" s="356"/>
      <c r="M28" s="59"/>
      <c r="N28" s="53"/>
      <c r="AA28" s="50"/>
    </row>
    <row r="29" spans="2:30" ht="12" customHeight="1" x14ac:dyDescent="0.2">
      <c r="B29" s="66"/>
      <c r="C29" s="5"/>
      <c r="D29" s="5"/>
      <c r="E29" s="5"/>
      <c r="F29" s="5"/>
      <c r="G29" s="5"/>
      <c r="H29" s="168" t="s">
        <v>3</v>
      </c>
      <c r="I29" s="151">
        <v>50</v>
      </c>
      <c r="K29" s="267" t="e">
        <f>SUM(K26:K27)</f>
        <v>#DIV/0!</v>
      </c>
      <c r="L29" s="18"/>
      <c r="M29" s="59"/>
      <c r="N29" s="53"/>
      <c r="AA29" s="45"/>
    </row>
    <row r="30" spans="2:30" ht="12" customHeight="1" thickBot="1" x14ac:dyDescent="0.25">
      <c r="B30" s="66"/>
      <c r="C30" s="138"/>
      <c r="D30" s="138"/>
      <c r="E30" s="138"/>
      <c r="F30" s="138"/>
      <c r="G30" s="138"/>
      <c r="H30" s="157"/>
      <c r="I30" s="140"/>
      <c r="J30" s="141"/>
      <c r="K30" s="140"/>
      <c r="L30" s="142"/>
      <c r="M30" s="59"/>
      <c r="N30" s="53"/>
      <c r="AA30" s="45"/>
    </row>
    <row r="31" spans="2:30" ht="12" customHeight="1" thickTop="1" x14ac:dyDescent="0.2">
      <c r="B31" s="66"/>
      <c r="C31" s="5"/>
      <c r="D31" s="5"/>
      <c r="E31" s="5"/>
      <c r="F31" s="5"/>
      <c r="G31" s="5"/>
      <c r="H31" s="21"/>
      <c r="I31" s="112"/>
      <c r="J31" s="111"/>
      <c r="K31" s="112"/>
      <c r="L31" s="18"/>
      <c r="M31" s="59"/>
      <c r="N31" s="53"/>
      <c r="AA31" s="45"/>
    </row>
    <row r="32" spans="2:30" ht="12" customHeight="1" x14ac:dyDescent="0.2">
      <c r="B32" s="66"/>
      <c r="C32" s="5"/>
      <c r="D32" s="156" t="s">
        <v>42</v>
      </c>
      <c r="E32" s="15"/>
      <c r="F32" s="35" t="s">
        <v>82</v>
      </c>
      <c r="G32" s="5"/>
      <c r="H32" s="21"/>
      <c r="I32" s="111"/>
      <c r="K32" s="81"/>
      <c r="L32" s="5"/>
      <c r="M32" s="59"/>
      <c r="N32" s="53"/>
      <c r="AA32" s="45"/>
    </row>
    <row r="33" spans="2:27" ht="12" customHeight="1" x14ac:dyDescent="0.2">
      <c r="B33" s="66"/>
      <c r="C33" s="5"/>
      <c r="D33" s="20"/>
      <c r="E33" s="20"/>
      <c r="F33" s="20"/>
      <c r="G33" s="20"/>
      <c r="H33" s="5"/>
      <c r="I33" s="10"/>
      <c r="J33" s="10"/>
      <c r="K33" s="10"/>
      <c r="L33" s="5"/>
      <c r="M33" s="59"/>
    </row>
    <row r="34" spans="2:27" ht="12" customHeight="1" x14ac:dyDescent="0.2">
      <c r="B34" s="66"/>
      <c r="C34" s="5"/>
      <c r="D34" s="5"/>
      <c r="E34" s="444" t="s">
        <v>98</v>
      </c>
      <c r="F34" s="444"/>
      <c r="G34" s="444"/>
      <c r="H34" s="444"/>
      <c r="I34" s="10">
        <v>10</v>
      </c>
      <c r="J34" s="33"/>
      <c r="K34" s="85" t="str">
        <f>IF('GEOMETRY '!F7-'GEOMETRY '!F6=2,5,IF('GEOMETRY '!F7-'GEOMETRY '!F6&gt;=3,10,""))</f>
        <v/>
      </c>
      <c r="L34" s="5"/>
      <c r="M34" s="59"/>
    </row>
    <row r="35" spans="2:27" ht="12" customHeight="1" x14ac:dyDescent="0.2">
      <c r="B35" s="66"/>
      <c r="C35" s="5"/>
      <c r="D35" s="5"/>
      <c r="E35" s="5"/>
      <c r="F35" s="5"/>
      <c r="G35" s="5"/>
      <c r="H35" s="67" t="s">
        <v>3</v>
      </c>
      <c r="I35" s="150">
        <v>10</v>
      </c>
      <c r="J35" s="9"/>
      <c r="K35" s="240">
        <f>IF(ROUND(SUM(K34:K34),2)&gt;10,10,ROUND(SUM(K34:K34),2))</f>
        <v>0</v>
      </c>
      <c r="L35" s="5"/>
      <c r="M35" s="59"/>
    </row>
    <row r="36" spans="2:27" ht="12" customHeight="1" x14ac:dyDescent="0.2">
      <c r="B36" s="66"/>
      <c r="C36" s="5"/>
      <c r="D36" s="15"/>
      <c r="E36" s="10" t="s">
        <v>44</v>
      </c>
      <c r="F36" s="10" t="s">
        <v>1</v>
      </c>
      <c r="G36" s="5"/>
      <c r="H36" s="10"/>
      <c r="I36" s="5"/>
      <c r="J36" s="5"/>
      <c r="K36" s="10"/>
      <c r="L36" s="5"/>
      <c r="M36" s="59"/>
      <c r="AA36" s="50"/>
    </row>
    <row r="37" spans="2:27" ht="12" customHeight="1" x14ac:dyDescent="0.2">
      <c r="B37" s="66"/>
      <c r="C37" s="5"/>
      <c r="D37" s="5"/>
      <c r="E37" s="10" t="s">
        <v>15</v>
      </c>
      <c r="F37" s="10">
        <v>5</v>
      </c>
      <c r="G37" s="5"/>
      <c r="H37" s="10"/>
      <c r="I37" s="10"/>
      <c r="J37" s="10"/>
      <c r="K37" s="10"/>
      <c r="L37" s="5"/>
      <c r="M37" s="59"/>
      <c r="AA37" s="50"/>
    </row>
    <row r="38" spans="2:27" ht="12" customHeight="1" x14ac:dyDescent="0.2">
      <c r="B38" s="66"/>
      <c r="C38" s="5"/>
      <c r="D38" s="5"/>
      <c r="E38" s="10" t="s">
        <v>16</v>
      </c>
      <c r="F38" s="10">
        <v>10</v>
      </c>
      <c r="G38" s="5"/>
      <c r="H38" s="10"/>
      <c r="I38" s="10"/>
      <c r="J38" s="10"/>
      <c r="K38" s="10"/>
      <c r="L38" s="5"/>
      <c r="M38" s="59"/>
      <c r="AA38" s="50"/>
    </row>
    <row r="39" spans="2:27" ht="12" customHeight="1" x14ac:dyDescent="0.2">
      <c r="B39" s="66"/>
      <c r="C39" s="5"/>
      <c r="D39" s="5"/>
      <c r="E39" s="10"/>
      <c r="F39" s="10"/>
      <c r="G39" s="5"/>
      <c r="H39" s="10"/>
      <c r="I39" s="10"/>
      <c r="J39" s="10"/>
      <c r="K39" s="9"/>
      <c r="L39" s="5"/>
      <c r="M39" s="59"/>
      <c r="AA39" s="50"/>
    </row>
    <row r="40" spans="2:27" ht="12" customHeight="1" thickBot="1" x14ac:dyDescent="0.25">
      <c r="B40" s="66"/>
      <c r="C40" s="138"/>
      <c r="D40" s="138"/>
      <c r="E40" s="143"/>
      <c r="F40" s="143"/>
      <c r="G40" s="138"/>
      <c r="H40" s="143"/>
      <c r="I40" s="143"/>
      <c r="J40" s="143"/>
      <c r="K40" s="139"/>
      <c r="L40" s="138"/>
      <c r="M40" s="59"/>
      <c r="AA40" s="50"/>
    </row>
    <row r="41" spans="2:27" ht="12" customHeight="1" thickTop="1" x14ac:dyDescent="0.2">
      <c r="B41" s="66"/>
      <c r="C41" s="5"/>
      <c r="D41" s="5"/>
      <c r="E41" s="10"/>
      <c r="F41" s="10"/>
      <c r="G41" s="5"/>
      <c r="H41" s="10"/>
      <c r="I41" s="10"/>
      <c r="J41" s="10"/>
      <c r="K41" s="9"/>
      <c r="L41" s="5"/>
      <c r="M41" s="59"/>
      <c r="AA41" s="50"/>
    </row>
    <row r="42" spans="2:27" ht="12" customHeight="1" x14ac:dyDescent="0.2">
      <c r="B42" s="66"/>
      <c r="C42" s="5"/>
      <c r="D42" s="156" t="s">
        <v>91</v>
      </c>
      <c r="E42" s="5"/>
      <c r="G42" s="35" t="s">
        <v>118</v>
      </c>
      <c r="H42" s="5"/>
      <c r="I42" s="19"/>
      <c r="J42" s="19"/>
      <c r="K42" s="10"/>
      <c r="L42" s="5"/>
      <c r="M42" s="59"/>
      <c r="AA42" s="45"/>
    </row>
    <row r="43" spans="2:27" ht="12" customHeight="1" x14ac:dyDescent="0.2">
      <c r="B43" s="66"/>
      <c r="C43" s="5"/>
      <c r="D43" s="20"/>
      <c r="E43" s="20"/>
      <c r="F43" s="20"/>
      <c r="G43" s="20"/>
      <c r="H43" s="5"/>
      <c r="I43" s="10"/>
      <c r="J43" s="10"/>
      <c r="K43" s="9"/>
      <c r="L43" s="5"/>
      <c r="M43" s="59"/>
    </row>
    <row r="44" spans="2:27" ht="12" customHeight="1" x14ac:dyDescent="0.2">
      <c r="B44" s="82"/>
      <c r="C44" s="5"/>
      <c r="D44" s="5"/>
      <c r="E44" s="11" t="s">
        <v>105</v>
      </c>
      <c r="F44" s="5"/>
      <c r="G44" s="5"/>
      <c r="H44" s="5"/>
      <c r="I44" s="5"/>
      <c r="J44" s="5"/>
      <c r="K44" s="10"/>
      <c r="L44" s="5"/>
      <c r="M44" s="59"/>
      <c r="AA44" s="45"/>
    </row>
    <row r="45" spans="2:27" ht="12" customHeight="1" x14ac:dyDescent="0.2">
      <c r="B45" s="82"/>
      <c r="C45" s="5"/>
      <c r="D45" s="12"/>
      <c r="E45" s="444" t="s">
        <v>99</v>
      </c>
      <c r="F45" s="444"/>
      <c r="G45" s="444"/>
      <c r="H45" s="10"/>
      <c r="I45" s="10">
        <v>15</v>
      </c>
      <c r="J45" s="10"/>
      <c r="K45" s="85" t="e">
        <f>IF(('ROADSIDE SAFETY'!C10/'TRAFFIC &amp; ACCIDENTS'!D12)*5&gt;5,5,('ROADSIDE SAFETY'!C10/'TRAFFIC &amp; ACCIDENTS'!D12)*15)</f>
        <v>#DIV/0!</v>
      </c>
      <c r="L45" s="5"/>
      <c r="M45" s="59"/>
      <c r="AA45" s="50"/>
    </row>
    <row r="46" spans="2:27" ht="12" customHeight="1" x14ac:dyDescent="0.2">
      <c r="B46" s="83"/>
      <c r="C46" s="5"/>
      <c r="D46" s="12"/>
      <c r="E46" s="444" t="s">
        <v>100</v>
      </c>
      <c r="F46" s="444"/>
      <c r="G46" s="444"/>
      <c r="H46" s="10"/>
      <c r="I46" s="10">
        <v>5</v>
      </c>
      <c r="J46" s="10"/>
      <c r="K46" s="85">
        <f>IF('ROADSIDE SAFETY'!C19&gt;5,5,'ROADSIDE SAFETY'!C19)</f>
        <v>0</v>
      </c>
      <c r="L46" s="5"/>
      <c r="M46" s="59"/>
      <c r="AA46" s="50"/>
    </row>
    <row r="47" spans="2:27" ht="12" customHeight="1" x14ac:dyDescent="0.2">
      <c r="B47" s="66"/>
      <c r="C47" s="5"/>
      <c r="D47" s="12"/>
      <c r="E47" s="444" t="s">
        <v>238</v>
      </c>
      <c r="F47" s="444"/>
      <c r="G47" s="444"/>
      <c r="H47" s="444"/>
      <c r="I47" s="10">
        <v>10</v>
      </c>
      <c r="J47" s="10"/>
      <c r="K47" s="85" t="e">
        <f>'ROADSIDE SAFETY'!K31</f>
        <v>#DIV/0!</v>
      </c>
      <c r="L47" s="5"/>
      <c r="M47" s="59"/>
    </row>
    <row r="48" spans="2:27" ht="12" customHeight="1" x14ac:dyDescent="0.2">
      <c r="B48" s="66"/>
      <c r="C48" s="5"/>
      <c r="D48" s="12"/>
      <c r="E48" s="444" t="s">
        <v>113</v>
      </c>
      <c r="F48" s="444"/>
      <c r="G48" s="444"/>
      <c r="H48" s="10"/>
      <c r="I48" s="16">
        <v>5</v>
      </c>
      <c r="J48" s="10"/>
      <c r="K48" s="85">
        <f>IF('ROADSIDE SAFETY'!C35&gt;5,5,'ROADSIDE SAFETY'!C35)</f>
        <v>0</v>
      </c>
      <c r="L48" s="5"/>
      <c r="M48" s="59"/>
    </row>
    <row r="49" spans="2:27" ht="12" customHeight="1" x14ac:dyDescent="0.2">
      <c r="B49" s="66"/>
      <c r="C49" s="5"/>
      <c r="D49" s="5"/>
      <c r="E49" s="5"/>
      <c r="F49" s="5"/>
      <c r="G49" s="5"/>
      <c r="H49" s="67" t="s">
        <v>3</v>
      </c>
      <c r="I49" s="152">
        <v>20</v>
      </c>
      <c r="J49" s="19"/>
      <c r="K49" s="84" t="e">
        <f>IF(SUM(K45:K48)&gt;20,20,SUM(K45:K48))</f>
        <v>#DIV/0!</v>
      </c>
      <c r="L49" s="5"/>
      <c r="M49" s="59"/>
    </row>
    <row r="50" spans="2:27" ht="12" customHeight="1" thickBot="1" x14ac:dyDescent="0.25">
      <c r="B50" s="66"/>
      <c r="C50" s="138"/>
      <c r="D50" s="138"/>
      <c r="E50" s="138"/>
      <c r="F50" s="138"/>
      <c r="G50" s="138"/>
      <c r="H50" s="143"/>
      <c r="I50" s="138"/>
      <c r="J50" s="138"/>
      <c r="K50" s="138"/>
      <c r="L50" s="138"/>
      <c r="M50" s="59"/>
    </row>
    <row r="51" spans="2:27" ht="12" customHeight="1" thickTop="1" x14ac:dyDescent="0.2">
      <c r="B51" s="66"/>
      <c r="C51" s="25"/>
      <c r="D51" s="27"/>
      <c r="E51" s="25"/>
      <c r="F51" s="25"/>
      <c r="G51" s="25"/>
      <c r="H51" s="43"/>
      <c r="I51" s="28"/>
      <c r="J51" s="28"/>
      <c r="K51" s="19"/>
      <c r="L51" s="5"/>
      <c r="M51" s="59"/>
      <c r="AA51" s="45"/>
    </row>
    <row r="52" spans="2:27" ht="12" customHeight="1" x14ac:dyDescent="0.2">
      <c r="B52" s="66"/>
      <c r="C52" s="25"/>
      <c r="D52" s="443" t="s">
        <v>264</v>
      </c>
      <c r="E52" s="443"/>
      <c r="F52" s="443"/>
      <c r="G52" s="164" t="s">
        <v>119</v>
      </c>
      <c r="H52" s="163"/>
      <c r="I52" s="152">
        <v>10</v>
      </c>
      <c r="J52" s="28"/>
      <c r="K52" s="265">
        <f>'LOCAL SIGNIFICANCE'!O33</f>
        <v>0</v>
      </c>
      <c r="L52" s="5"/>
      <c r="M52" s="59"/>
      <c r="AA52" s="45"/>
    </row>
    <row r="53" spans="2:27" ht="12" customHeight="1" x14ac:dyDescent="0.2">
      <c r="B53" s="66"/>
      <c r="C53" s="25"/>
      <c r="D53" s="27"/>
      <c r="E53" s="25"/>
      <c r="F53" s="25"/>
      <c r="G53" s="165" t="s">
        <v>111</v>
      </c>
      <c r="H53" s="163"/>
      <c r="I53" s="28"/>
      <c r="J53" s="28"/>
      <c r="K53" s="166"/>
      <c r="L53" s="5"/>
      <c r="M53" s="59"/>
      <c r="AA53" s="45"/>
    </row>
    <row r="54" spans="2:27" ht="12" customHeight="1" thickBot="1" x14ac:dyDescent="0.25">
      <c r="B54" s="66"/>
      <c r="C54" s="138"/>
      <c r="D54" s="138"/>
      <c r="E54" s="138"/>
      <c r="F54" s="138"/>
      <c r="G54" s="138"/>
      <c r="H54" s="143"/>
      <c r="I54" s="138"/>
      <c r="J54" s="138"/>
      <c r="K54" s="167"/>
      <c r="L54" s="138"/>
      <c r="M54" s="59"/>
      <c r="AA54" s="45"/>
    </row>
    <row r="55" spans="2:27" ht="12" customHeight="1" thickTop="1" x14ac:dyDescent="0.2">
      <c r="B55" s="66"/>
      <c r="C55" s="25"/>
      <c r="D55" s="27"/>
      <c r="E55" s="25"/>
      <c r="F55" s="25"/>
      <c r="G55" s="25"/>
      <c r="H55" s="43"/>
      <c r="I55" s="28"/>
      <c r="J55" s="28"/>
      <c r="K55" s="19"/>
      <c r="L55" s="5"/>
      <c r="M55" s="59"/>
      <c r="AA55" s="45"/>
    </row>
    <row r="56" spans="2:27" ht="12" customHeight="1" thickBot="1" x14ac:dyDescent="0.25">
      <c r="B56" s="83"/>
      <c r="C56" s="5"/>
      <c r="D56" s="172" t="s">
        <v>95</v>
      </c>
      <c r="E56" s="172"/>
      <c r="F56" s="172"/>
      <c r="G56" s="172"/>
      <c r="I56" s="150">
        <f>SUM(I20,I29,I49,I35,I52)</f>
        <v>100</v>
      </c>
      <c r="J56" s="9"/>
      <c r="K56" s="86" t="e">
        <f>SUM(K20,K29,K35,K49,K52)</f>
        <v>#DIV/0!</v>
      </c>
      <c r="L56" s="5"/>
      <c r="M56" s="59"/>
      <c r="AA56" s="50"/>
    </row>
    <row r="57" spans="2:27" ht="12" customHeight="1" thickTop="1" x14ac:dyDescent="0.2">
      <c r="B57" s="83"/>
      <c r="C57" s="5"/>
      <c r="D57" s="35"/>
      <c r="E57" s="35"/>
      <c r="F57" s="35"/>
      <c r="G57" s="35"/>
      <c r="I57" s="146" t="s">
        <v>106</v>
      </c>
      <c r="J57" s="9"/>
      <c r="K57" s="147" t="s">
        <v>107</v>
      </c>
      <c r="L57" s="5"/>
      <c r="M57" s="59"/>
      <c r="AA57" s="50"/>
    </row>
    <row r="58" spans="2:27" ht="12" customHeight="1" x14ac:dyDescent="0.2">
      <c r="B58" s="66"/>
      <c r="C58" s="35" t="s">
        <v>47</v>
      </c>
      <c r="D58" s="5"/>
      <c r="E58" s="5"/>
      <c r="F58" s="5"/>
      <c r="G58" s="5"/>
      <c r="H58" s="5"/>
      <c r="I58" s="10"/>
      <c r="J58" s="10"/>
      <c r="K58" s="10"/>
      <c r="L58" s="5"/>
      <c r="M58" s="59"/>
      <c r="AA58" s="50"/>
    </row>
    <row r="59" spans="2:27" ht="12" customHeight="1" x14ac:dyDescent="0.2">
      <c r="B59" s="66"/>
      <c r="C59" s="134" t="s">
        <v>114</v>
      </c>
      <c r="D59" s="5"/>
      <c r="E59" s="5"/>
      <c r="F59" s="5"/>
      <c r="G59" s="5"/>
      <c r="H59" s="5"/>
      <c r="I59" s="10"/>
      <c r="J59" s="10"/>
      <c r="K59" s="10"/>
      <c r="L59" s="5"/>
      <c r="M59" s="59"/>
      <c r="AA59" s="45"/>
    </row>
    <row r="60" spans="2:27" ht="12" customHeight="1" x14ac:dyDescent="0.2">
      <c r="B60" s="66"/>
      <c r="C60" s="134" t="s">
        <v>115</v>
      </c>
      <c r="D60" s="5"/>
      <c r="E60" s="5"/>
      <c r="F60" s="5"/>
      <c r="G60" s="5"/>
      <c r="H60" s="5"/>
      <c r="I60" s="5"/>
      <c r="J60" s="5"/>
      <c r="K60" s="5"/>
      <c r="L60" s="5"/>
      <c r="M60" s="59"/>
      <c r="AA60" s="50"/>
    </row>
    <row r="61" spans="2:27" ht="12" customHeight="1" thickBot="1" x14ac:dyDescent="0.25">
      <c r="B61" s="75"/>
      <c r="C61" s="76"/>
      <c r="D61" s="76"/>
      <c r="E61" s="76"/>
      <c r="F61" s="76"/>
      <c r="G61" s="76"/>
      <c r="H61" s="76"/>
      <c r="I61" s="76"/>
      <c r="J61" s="76"/>
      <c r="K61" s="76"/>
      <c r="L61" s="76"/>
      <c r="M61" s="77"/>
      <c r="AA61" s="50"/>
    </row>
    <row r="62" spans="2:27" ht="12" customHeight="1" x14ac:dyDescent="0.2">
      <c r="B62" s="44"/>
      <c r="C62" s="44"/>
      <c r="D62" s="44"/>
      <c r="E62" s="44"/>
      <c r="F62" s="44"/>
      <c r="G62" s="44"/>
      <c r="H62" s="44"/>
      <c r="I62" s="44"/>
      <c r="J62" s="44"/>
      <c r="K62" s="44"/>
      <c r="L62" s="44"/>
      <c r="M62" s="44"/>
      <c r="AA62" s="45"/>
    </row>
    <row r="63" spans="2:27" ht="12" customHeight="1" x14ac:dyDescent="0.2">
      <c r="B63" s="44"/>
      <c r="C63" s="44"/>
      <c r="D63" s="44"/>
      <c r="E63" s="44"/>
      <c r="F63" s="44"/>
      <c r="G63" s="44"/>
      <c r="H63" s="44"/>
      <c r="I63" s="44"/>
      <c r="J63" s="44"/>
      <c r="K63" s="44"/>
      <c r="L63" s="44"/>
      <c r="M63" s="44"/>
      <c r="AA63" s="50"/>
    </row>
    <row r="64" spans="2:27" ht="12" customHeight="1" x14ac:dyDescent="0.2">
      <c r="B64" s="44"/>
      <c r="C64" s="44"/>
      <c r="D64" s="44"/>
      <c r="E64" s="44"/>
      <c r="F64" s="44"/>
      <c r="G64" s="44"/>
      <c r="H64" s="44"/>
      <c r="I64" s="44"/>
      <c r="J64" s="44"/>
      <c r="K64" s="44"/>
      <c r="L64" s="44"/>
      <c r="M64" s="44"/>
      <c r="AA64" s="50"/>
    </row>
    <row r="65" spans="2:27" ht="12" customHeight="1" x14ac:dyDescent="0.2">
      <c r="B65" s="44"/>
      <c r="C65" s="44"/>
      <c r="D65" s="44"/>
      <c r="E65" s="44"/>
      <c r="F65" s="44"/>
      <c r="G65" s="44"/>
      <c r="H65" s="44"/>
      <c r="I65" s="44"/>
      <c r="J65" s="44"/>
      <c r="K65" s="44"/>
      <c r="L65" s="44"/>
      <c r="M65" s="44"/>
      <c r="AA65" s="45"/>
    </row>
    <row r="66" spans="2:27" ht="12" customHeight="1" x14ac:dyDescent="0.2">
      <c r="B66" s="44"/>
      <c r="C66" s="44"/>
      <c r="D66" s="44"/>
      <c r="E66" s="44"/>
      <c r="F66" s="44"/>
      <c r="G66" s="44"/>
      <c r="H66" s="44"/>
      <c r="I66" s="44"/>
      <c r="J66" s="44"/>
      <c r="K66" s="44"/>
      <c r="L66" s="44"/>
      <c r="M66" s="44"/>
      <c r="AA66" s="50"/>
    </row>
    <row r="67" spans="2:27" ht="12" customHeight="1" x14ac:dyDescent="0.2">
      <c r="B67" s="44"/>
      <c r="C67" s="44"/>
      <c r="D67" s="44"/>
      <c r="E67" s="44"/>
      <c r="F67" s="44"/>
      <c r="G67" s="44"/>
      <c r="H67" s="44"/>
      <c r="I67" s="44"/>
      <c r="J67" s="44"/>
      <c r="K67" s="44"/>
      <c r="L67" s="44"/>
      <c r="M67" s="44"/>
      <c r="AA67" s="50"/>
    </row>
    <row r="68" spans="2:27" ht="12" customHeight="1" x14ac:dyDescent="0.2">
      <c r="B68" s="44"/>
      <c r="C68" s="44"/>
      <c r="D68" s="44"/>
      <c r="E68" s="44"/>
      <c r="F68" s="44"/>
      <c r="G68" s="44"/>
      <c r="H68" s="44"/>
      <c r="I68" s="44"/>
      <c r="J68" s="44"/>
      <c r="K68" s="44"/>
      <c r="L68" s="44"/>
      <c r="M68" s="44"/>
      <c r="AA68" s="45"/>
    </row>
    <row r="69" spans="2:27" ht="12" customHeight="1" x14ac:dyDescent="0.2">
      <c r="B69" s="44"/>
      <c r="C69" s="44"/>
      <c r="D69" s="44"/>
      <c r="E69" s="44"/>
      <c r="F69" s="44"/>
      <c r="G69" s="44"/>
      <c r="H69" s="44"/>
      <c r="I69" s="44"/>
      <c r="J69" s="44"/>
      <c r="K69" s="44"/>
      <c r="L69" s="44"/>
      <c r="M69" s="44"/>
      <c r="AA69" s="50"/>
    </row>
    <row r="70" spans="2:27" ht="12" customHeight="1" x14ac:dyDescent="0.2">
      <c r="B70" s="44"/>
      <c r="C70" s="44"/>
      <c r="D70" s="44"/>
      <c r="E70" s="44"/>
      <c r="F70" s="44"/>
      <c r="G70" s="44"/>
      <c r="H70" s="44"/>
      <c r="I70" s="44"/>
      <c r="J70" s="44"/>
      <c r="K70" s="44"/>
      <c r="L70" s="44"/>
      <c r="M70" s="44"/>
      <c r="AA70" s="45"/>
    </row>
    <row r="71" spans="2:27" ht="12" customHeight="1" x14ac:dyDescent="0.2">
      <c r="B71" s="44"/>
      <c r="C71" s="44"/>
      <c r="D71" s="44"/>
      <c r="E71" s="44"/>
      <c r="F71" s="44"/>
      <c r="G71" s="44"/>
      <c r="H71" s="44"/>
      <c r="I71" s="44"/>
      <c r="J71" s="44"/>
      <c r="K71" s="44"/>
      <c r="L71" s="44"/>
      <c r="M71" s="44"/>
    </row>
    <row r="72" spans="2:27" ht="12" customHeight="1" x14ac:dyDescent="0.2">
      <c r="B72" s="44"/>
      <c r="C72" s="44"/>
      <c r="D72" s="44"/>
      <c r="E72" s="44"/>
      <c r="F72" s="44"/>
      <c r="G72" s="44"/>
      <c r="H72" s="44"/>
      <c r="I72" s="44"/>
      <c r="J72" s="44"/>
      <c r="K72" s="44"/>
      <c r="L72" s="44"/>
      <c r="M72" s="44"/>
    </row>
    <row r="73" spans="2:27" ht="12" customHeight="1" x14ac:dyDescent="0.2">
      <c r="B73" s="44"/>
      <c r="C73" s="44"/>
      <c r="D73" s="44"/>
      <c r="E73" s="44"/>
      <c r="F73" s="44"/>
      <c r="G73" s="44"/>
      <c r="H73" s="44"/>
      <c r="I73" s="44"/>
      <c r="J73" s="44"/>
      <c r="K73" s="44"/>
      <c r="L73" s="44"/>
      <c r="M73" s="44"/>
    </row>
    <row r="74" spans="2:27" ht="12" customHeight="1" x14ac:dyDescent="0.2">
      <c r="B74" s="44"/>
      <c r="C74" s="44"/>
      <c r="D74" s="44"/>
      <c r="E74" s="44"/>
      <c r="F74" s="44"/>
      <c r="G74" s="44"/>
      <c r="H74" s="44"/>
      <c r="I74" s="44"/>
      <c r="J74" s="44"/>
      <c r="K74" s="44"/>
      <c r="L74" s="44"/>
      <c r="M74" s="44"/>
    </row>
    <row r="75" spans="2:27" ht="12" customHeight="1" x14ac:dyDescent="0.2">
      <c r="B75" s="44"/>
      <c r="C75" s="44"/>
      <c r="D75" s="44"/>
      <c r="E75" s="44"/>
      <c r="F75" s="44"/>
      <c r="G75" s="44"/>
      <c r="H75" s="44"/>
      <c r="I75" s="44"/>
      <c r="J75" s="44"/>
      <c r="K75" s="44"/>
      <c r="L75" s="44"/>
      <c r="M75" s="44"/>
    </row>
    <row r="76" spans="2:27" ht="12" customHeight="1" x14ac:dyDescent="0.2">
      <c r="B76" s="44"/>
      <c r="C76" s="44"/>
      <c r="D76" s="44"/>
      <c r="E76" s="44"/>
      <c r="F76" s="44"/>
      <c r="G76" s="44"/>
      <c r="H76" s="44"/>
      <c r="I76" s="44"/>
      <c r="J76" s="44"/>
      <c r="K76" s="44"/>
      <c r="L76" s="44"/>
      <c r="M76" s="44"/>
    </row>
    <row r="77" spans="2:27" ht="12" customHeight="1" x14ac:dyDescent="0.2">
      <c r="B77" s="44"/>
      <c r="C77" s="44"/>
      <c r="D77" s="44"/>
      <c r="E77" s="44"/>
      <c r="F77" s="44"/>
      <c r="G77" s="44"/>
      <c r="H77" s="44"/>
      <c r="I77" s="44"/>
      <c r="J77" s="44"/>
      <c r="K77" s="44"/>
      <c r="L77" s="44"/>
      <c r="M77" s="44"/>
      <c r="N77" s="54"/>
    </row>
    <row r="78" spans="2:27" ht="12" customHeight="1" x14ac:dyDescent="0.2">
      <c r="B78" s="44"/>
      <c r="C78" s="44"/>
      <c r="D78" s="44"/>
      <c r="E78" s="44"/>
      <c r="F78" s="44"/>
      <c r="G78" s="44"/>
      <c r="H78" s="44"/>
      <c r="I78" s="44"/>
      <c r="J78" s="44"/>
      <c r="K78" s="44"/>
      <c r="L78" s="44"/>
      <c r="M78" s="44"/>
      <c r="N78" s="54"/>
    </row>
    <row r="79" spans="2:27" ht="12" customHeight="1" x14ac:dyDescent="0.2">
      <c r="B79" s="44"/>
      <c r="C79" s="44"/>
      <c r="D79" s="44"/>
      <c r="E79" s="44"/>
      <c r="F79" s="44"/>
      <c r="G79" s="44"/>
      <c r="H79" s="44"/>
      <c r="I79" s="44"/>
      <c r="J79" s="44"/>
      <c r="K79" s="44"/>
      <c r="L79" s="44"/>
      <c r="M79" s="44"/>
    </row>
    <row r="80" spans="2:27" ht="12" customHeight="1" x14ac:dyDescent="0.2">
      <c r="B80" s="44"/>
      <c r="C80" s="44"/>
      <c r="D80" s="44"/>
      <c r="E80" s="44"/>
      <c r="F80" s="44"/>
      <c r="G80" s="44"/>
      <c r="H80" s="44"/>
      <c r="I80" s="44"/>
      <c r="J80" s="44"/>
      <c r="K80" s="44"/>
      <c r="L80" s="44"/>
      <c r="M80" s="44"/>
    </row>
    <row r="81" spans="2:46" ht="12" customHeight="1" x14ac:dyDescent="0.2">
      <c r="B81" s="44"/>
      <c r="C81" s="44"/>
      <c r="D81" s="44"/>
      <c r="E81" s="44"/>
      <c r="F81" s="44"/>
      <c r="G81" s="44"/>
      <c r="H81" s="44"/>
      <c r="I81" s="44"/>
      <c r="J81" s="44"/>
      <c r="K81" s="44"/>
      <c r="L81" s="44"/>
      <c r="M81" s="44"/>
    </row>
    <row r="82" spans="2:46" ht="12" customHeight="1" x14ac:dyDescent="0.2">
      <c r="B82" s="44"/>
      <c r="C82" s="44"/>
      <c r="D82" s="44"/>
      <c r="E82" s="44"/>
      <c r="F82" s="44"/>
      <c r="G82" s="44"/>
      <c r="H82" s="44"/>
      <c r="I82" s="44"/>
      <c r="J82" s="44"/>
      <c r="K82" s="44"/>
      <c r="L82" s="44"/>
      <c r="M82" s="44"/>
    </row>
    <row r="83" spans="2:46" ht="12" customHeight="1" x14ac:dyDescent="0.2">
      <c r="B83" s="44"/>
      <c r="C83" s="44"/>
      <c r="D83" s="44"/>
      <c r="E83" s="44"/>
      <c r="F83" s="44"/>
      <c r="G83" s="44"/>
      <c r="H83" s="44"/>
      <c r="I83" s="44"/>
      <c r="J83" s="44"/>
      <c r="K83" s="44"/>
      <c r="L83" s="44"/>
      <c r="M83" s="44"/>
    </row>
    <row r="84" spans="2:46" ht="12" customHeight="1" x14ac:dyDescent="0.2">
      <c r="B84" s="44"/>
      <c r="C84" s="44"/>
      <c r="D84" s="44"/>
      <c r="E84" s="44"/>
      <c r="F84" s="44"/>
      <c r="G84" s="44"/>
      <c r="H84" s="44"/>
      <c r="I84" s="44"/>
      <c r="J84" s="44"/>
      <c r="K84" s="44"/>
      <c r="L84" s="44"/>
      <c r="M84" s="44"/>
    </row>
    <row r="85" spans="2:46" ht="12" customHeight="1" x14ac:dyDescent="0.2">
      <c r="B85" s="44"/>
      <c r="C85" s="44"/>
      <c r="D85" s="44"/>
      <c r="E85" s="44"/>
      <c r="F85" s="44"/>
      <c r="G85" s="44"/>
      <c r="H85" s="44"/>
      <c r="I85" s="44"/>
      <c r="J85" s="44"/>
      <c r="K85" s="44"/>
      <c r="L85" s="44"/>
      <c r="M85" s="44"/>
    </row>
    <row r="86" spans="2:46" ht="12" customHeight="1" x14ac:dyDescent="0.2">
      <c r="B86" s="44"/>
      <c r="C86" s="44"/>
      <c r="D86" s="44"/>
      <c r="E86" s="44"/>
      <c r="F86" s="44"/>
      <c r="G86" s="44"/>
      <c r="H86" s="44"/>
      <c r="I86" s="44"/>
      <c r="J86" s="44"/>
      <c r="K86" s="44"/>
      <c r="L86" s="44"/>
      <c r="M86" s="44"/>
    </row>
    <row r="87" spans="2:46" ht="12" customHeight="1" x14ac:dyDescent="0.2">
      <c r="B87" s="44"/>
      <c r="C87" s="44"/>
      <c r="D87" s="44"/>
      <c r="E87" s="44"/>
      <c r="F87" s="44"/>
      <c r="G87" s="44"/>
      <c r="H87" s="44"/>
      <c r="I87" s="44"/>
      <c r="J87" s="44"/>
      <c r="K87" s="44"/>
      <c r="L87" s="44"/>
      <c r="M87" s="44"/>
      <c r="N87" s="45"/>
    </row>
    <row r="88" spans="2:46" ht="12" customHeight="1" x14ac:dyDescent="0.2">
      <c r="B88" s="44"/>
      <c r="C88" s="44"/>
      <c r="D88" s="44"/>
      <c r="E88" s="44"/>
      <c r="F88" s="44"/>
      <c r="G88" s="44"/>
      <c r="H88" s="44"/>
      <c r="I88" s="44"/>
      <c r="J88" s="44"/>
      <c r="K88" s="44"/>
      <c r="L88" s="44"/>
      <c r="M88" s="44"/>
      <c r="N88" s="55"/>
    </row>
    <row r="89" spans="2:46" ht="12" customHeight="1" x14ac:dyDescent="0.2">
      <c r="B89" s="44"/>
      <c r="C89" s="44"/>
      <c r="D89" s="44"/>
      <c r="E89" s="44"/>
      <c r="F89" s="44"/>
      <c r="G89" s="44"/>
      <c r="H89" s="44"/>
      <c r="I89" s="44"/>
      <c r="J89" s="44"/>
      <c r="K89" s="44"/>
      <c r="L89" s="44"/>
      <c r="M89" s="44"/>
      <c r="N89" s="56"/>
    </row>
    <row r="90" spans="2:46" ht="12" customHeight="1" x14ac:dyDescent="0.2">
      <c r="B90" s="44"/>
      <c r="C90" s="44"/>
      <c r="D90" s="44"/>
      <c r="E90" s="44"/>
      <c r="F90" s="44"/>
      <c r="G90" s="44"/>
      <c r="H90" s="44"/>
      <c r="I90" s="44"/>
      <c r="J90" s="44"/>
      <c r="K90" s="44"/>
      <c r="L90" s="44"/>
      <c r="M90" s="44"/>
      <c r="N90" s="56"/>
    </row>
    <row r="91" spans="2:46" ht="12" customHeight="1" x14ac:dyDescent="0.2">
      <c r="B91" s="44"/>
      <c r="C91" s="44"/>
      <c r="D91" s="44"/>
      <c r="E91" s="44"/>
      <c r="F91" s="44"/>
      <c r="G91" s="44"/>
      <c r="H91" s="44"/>
      <c r="I91" s="44"/>
      <c r="J91" s="44"/>
      <c r="K91" s="44"/>
      <c r="L91" s="44"/>
      <c r="M91" s="44"/>
      <c r="N91" s="56"/>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row>
    <row r="92" spans="2:46" ht="12" customHeight="1" x14ac:dyDescent="0.2">
      <c r="B92" s="44"/>
      <c r="C92" s="44"/>
      <c r="D92" s="44"/>
      <c r="E92" s="44"/>
      <c r="F92" s="44"/>
      <c r="G92" s="44"/>
      <c r="H92" s="44"/>
      <c r="I92" s="44"/>
      <c r="J92" s="44"/>
      <c r="K92" s="44"/>
      <c r="L92" s="44"/>
      <c r="M92" s="44"/>
      <c r="N92" s="50"/>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row>
    <row r="93" spans="2:46" ht="12" customHeight="1" x14ac:dyDescent="0.2">
      <c r="B93" s="44"/>
      <c r="C93" s="44"/>
      <c r="D93" s="44"/>
      <c r="E93" s="44"/>
      <c r="F93" s="44"/>
      <c r="G93" s="44"/>
      <c r="H93" s="44"/>
      <c r="I93" s="44"/>
      <c r="J93" s="44"/>
      <c r="K93" s="44"/>
      <c r="L93" s="44"/>
      <c r="M93" s="44"/>
      <c r="N93" s="50"/>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row>
    <row r="94" spans="2:46" ht="12" customHeight="1" x14ac:dyDescent="0.2">
      <c r="B94" s="44"/>
      <c r="C94" s="44"/>
      <c r="D94" s="44"/>
      <c r="E94" s="44"/>
      <c r="F94" s="44"/>
      <c r="G94" s="44"/>
      <c r="H94" s="44"/>
      <c r="I94" s="44"/>
      <c r="J94" s="44"/>
      <c r="K94" s="44"/>
      <c r="L94" s="44"/>
      <c r="M94" s="44"/>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row>
    <row r="95" spans="2:46" ht="12" customHeight="1" x14ac:dyDescent="0.2">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row>
    <row r="96" spans="2:46" ht="12" customHeight="1" x14ac:dyDescent="0.2">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row>
    <row r="97" spans="2:46" ht="12" customHeight="1" x14ac:dyDescent="0.2">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row>
    <row r="98" spans="2:46" ht="12" customHeight="1" x14ac:dyDescent="0.2">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row>
    <row r="99" spans="2:46" ht="12" customHeight="1" x14ac:dyDescent="0.2">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row>
    <row r="100" spans="2:46" ht="12" customHeight="1" x14ac:dyDescent="0.2">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row>
    <row r="101" spans="2:46" ht="12" customHeight="1" x14ac:dyDescent="0.2">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row>
    <row r="102" spans="2:46" ht="12" customHeight="1" x14ac:dyDescent="0.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row>
    <row r="103" spans="2:46" ht="12" customHeight="1" x14ac:dyDescent="0.2">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row>
    <row r="104" spans="2:46" ht="12" customHeight="1" x14ac:dyDescent="0.2">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row>
    <row r="105" spans="2:46" ht="12" customHeight="1" x14ac:dyDescent="0.2">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row>
    <row r="106" spans="2:46" ht="12" customHeight="1" x14ac:dyDescent="0.2">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row>
    <row r="107" spans="2:46" ht="12" customHeight="1" x14ac:dyDescent="0.2">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row>
    <row r="108" spans="2:46" ht="12" customHeight="1" x14ac:dyDescent="0.2">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row>
    <row r="109" spans="2:46" ht="12" customHeight="1" x14ac:dyDescent="0.2">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row>
    <row r="110" spans="2:46" ht="12" customHeight="1" x14ac:dyDescent="0.2">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row>
    <row r="111" spans="2:46" ht="12" customHeight="1" x14ac:dyDescent="0.2">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row>
    <row r="112" spans="2:46" ht="12" customHeight="1" x14ac:dyDescent="0.2">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row>
    <row r="113" spans="2:46" ht="12" customHeight="1" x14ac:dyDescent="0.2">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row>
    <row r="114" spans="2:46" ht="12" customHeight="1" x14ac:dyDescent="0.2">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row>
    <row r="115" spans="2:46" ht="12" customHeight="1" x14ac:dyDescent="0.2">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row>
    <row r="116" spans="2:46" ht="12" customHeight="1" x14ac:dyDescent="0.2">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row>
    <row r="117" spans="2:46" ht="12" customHeight="1" x14ac:dyDescent="0.2">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row>
    <row r="118" spans="2:46" ht="12" customHeight="1" x14ac:dyDescent="0.2">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row>
    <row r="119" spans="2:46" ht="12" customHeight="1" x14ac:dyDescent="0.2">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row>
    <row r="120" spans="2:46" ht="12" customHeight="1" x14ac:dyDescent="0.2">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row>
    <row r="121" spans="2:46" ht="12" customHeight="1" x14ac:dyDescent="0.2">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row>
    <row r="122" spans="2:46" ht="12" customHeight="1" x14ac:dyDescent="0.2">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row>
    <row r="123" spans="2:46" ht="12" customHeight="1" x14ac:dyDescent="0.2">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row>
    <row r="124" spans="2:46" ht="12" customHeight="1" x14ac:dyDescent="0.2">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row>
    <row r="125" spans="2:46" ht="12" customHeight="1" x14ac:dyDescent="0.2">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row>
    <row r="126" spans="2:46" ht="12" customHeight="1" x14ac:dyDescent="0.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row>
    <row r="127" spans="2:46" ht="12" customHeight="1" x14ac:dyDescent="0.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row>
    <row r="128" spans="2:46" ht="12" customHeight="1" x14ac:dyDescent="0.2">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row>
    <row r="129" spans="2:46" ht="12" customHeight="1" x14ac:dyDescent="0.2">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row>
    <row r="130" spans="2:46" ht="12" customHeight="1" x14ac:dyDescent="0.2">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row>
    <row r="131" spans="2:46" ht="12" customHeight="1" x14ac:dyDescent="0.2">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row>
    <row r="132" spans="2:46" ht="12" customHeight="1" x14ac:dyDescent="0.2">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row>
    <row r="133" spans="2:46" ht="12" customHeight="1" x14ac:dyDescent="0.2">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row>
    <row r="134" spans="2:46" ht="12" customHeight="1" x14ac:dyDescent="0.2">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row>
    <row r="135" spans="2:46" ht="12" customHeight="1" x14ac:dyDescent="0.2">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row>
    <row r="136" spans="2:46" ht="12" customHeight="1" x14ac:dyDescent="0.2">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row>
    <row r="137" spans="2:46" ht="12" customHeight="1" x14ac:dyDescent="0.2">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row>
    <row r="138" spans="2:46" ht="12" customHeight="1" x14ac:dyDescent="0.2">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row>
    <row r="139" spans="2:46" ht="12" customHeight="1" x14ac:dyDescent="0.2">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row>
    <row r="140" spans="2:46" ht="12" customHeight="1" x14ac:dyDescent="0.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row>
    <row r="141" spans="2:46" ht="12" customHeight="1" x14ac:dyDescent="0.2">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row>
    <row r="142" spans="2:46" ht="12" customHeight="1" x14ac:dyDescent="0.2">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row>
    <row r="143" spans="2:46" ht="12" customHeight="1" x14ac:dyDescent="0.2">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row>
    <row r="144" spans="2:46" ht="12" customHeight="1" x14ac:dyDescent="0.2">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row>
    <row r="145" spans="2:46" ht="12" customHeight="1" x14ac:dyDescent="0.2">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row>
    <row r="146" spans="2:46" ht="12" customHeight="1" x14ac:dyDescent="0.2">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row>
    <row r="147" spans="2:46" ht="12" customHeight="1" x14ac:dyDescent="0.2">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row>
    <row r="148" spans="2:46" ht="12" customHeight="1" x14ac:dyDescent="0.2">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row>
    <row r="149" spans="2:46" ht="12" customHeight="1" x14ac:dyDescent="0.2">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row>
    <row r="150" spans="2:46" ht="12" customHeight="1" x14ac:dyDescent="0.2">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row>
    <row r="151" spans="2:46" ht="12" customHeight="1" x14ac:dyDescent="0.2">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row>
    <row r="152" spans="2:46" ht="12" customHeight="1" x14ac:dyDescent="0.2">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row>
    <row r="153" spans="2:46" ht="12" customHeight="1" x14ac:dyDescent="0.2">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row>
    <row r="154" spans="2:46" ht="12" customHeight="1" x14ac:dyDescent="0.2">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row>
    <row r="155" spans="2:46" ht="12" customHeight="1" x14ac:dyDescent="0.2">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row>
    <row r="156" spans="2:46" ht="12" customHeight="1" x14ac:dyDescent="0.2">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row>
    <row r="157" spans="2:46" ht="12" customHeight="1" x14ac:dyDescent="0.2">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row>
    <row r="158" spans="2:46" ht="12" customHeight="1" x14ac:dyDescent="0.2">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row>
    <row r="159" spans="2:46" ht="12" customHeight="1" x14ac:dyDescent="0.2">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row>
    <row r="160" spans="2:46" ht="12" customHeight="1" x14ac:dyDescent="0.2">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row>
    <row r="161" spans="2:46" ht="12" customHeight="1" x14ac:dyDescent="0.2">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row>
    <row r="162" spans="2:46" ht="12" customHeight="1" x14ac:dyDescent="0.2">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row>
    <row r="163" spans="2:46" ht="12" customHeight="1" x14ac:dyDescent="0.2">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row>
    <row r="164" spans="2:46" ht="12" customHeight="1" x14ac:dyDescent="0.2">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row>
    <row r="165" spans="2:46" ht="12" customHeight="1" x14ac:dyDescent="0.2">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row>
    <row r="166" spans="2:46" ht="12" customHeight="1" x14ac:dyDescent="0.2">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row>
    <row r="167" spans="2:46" ht="12" customHeight="1" x14ac:dyDescent="0.2">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row>
    <row r="168" spans="2:46" ht="12" customHeight="1" x14ac:dyDescent="0.2">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row>
    <row r="169" spans="2:46" ht="12" customHeight="1" x14ac:dyDescent="0.2">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row>
    <row r="170" spans="2:46" ht="12" customHeight="1" x14ac:dyDescent="0.2">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row>
    <row r="171" spans="2:46" ht="12" customHeight="1" x14ac:dyDescent="0.2">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row>
    <row r="172" spans="2:46" ht="12" customHeight="1" x14ac:dyDescent="0.2">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row>
    <row r="173" spans="2:46" ht="12" customHeight="1" x14ac:dyDescent="0.2">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row>
    <row r="174" spans="2:46" ht="12" customHeight="1" x14ac:dyDescent="0.2">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row>
    <row r="175" spans="2:46" ht="12" customHeight="1" x14ac:dyDescent="0.2">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row>
    <row r="176" spans="2:46" ht="12" customHeight="1" x14ac:dyDescent="0.2">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row>
    <row r="177" spans="2:46" ht="12" customHeight="1" x14ac:dyDescent="0.2">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row>
    <row r="178" spans="2:46" ht="12" customHeight="1" x14ac:dyDescent="0.2">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row>
    <row r="179" spans="2:46" ht="12" customHeight="1" x14ac:dyDescent="0.2">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row>
    <row r="180" spans="2:46" ht="12" customHeight="1" x14ac:dyDescent="0.2">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row>
    <row r="181" spans="2:46" ht="12" customHeight="1" x14ac:dyDescent="0.2">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row>
    <row r="182" spans="2:46" ht="12" customHeight="1" x14ac:dyDescent="0.2">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row>
    <row r="183" spans="2:46" ht="12" customHeight="1" x14ac:dyDescent="0.2">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row>
    <row r="184" spans="2:46" ht="12" customHeight="1" x14ac:dyDescent="0.2">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row>
    <row r="185" spans="2:46" ht="12" customHeight="1" x14ac:dyDescent="0.2">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row>
    <row r="186" spans="2:46" ht="12" customHeight="1" x14ac:dyDescent="0.2">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row>
    <row r="187" spans="2:46" ht="12" customHeight="1" x14ac:dyDescent="0.2">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row>
    <row r="188" spans="2:46" ht="12" customHeight="1" x14ac:dyDescent="0.2">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row>
    <row r="189" spans="2:46" ht="12" customHeight="1" x14ac:dyDescent="0.2">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row>
    <row r="190" spans="2:46" ht="12" customHeight="1" x14ac:dyDescent="0.2">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row>
    <row r="191" spans="2:46" ht="12" customHeight="1" x14ac:dyDescent="0.2">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row>
    <row r="192" spans="2:46" ht="12" customHeight="1" x14ac:dyDescent="0.2">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row>
    <row r="193" spans="2:46" ht="12" customHeight="1" x14ac:dyDescent="0.2">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row>
    <row r="194" spans="2:46" ht="12" customHeight="1" x14ac:dyDescent="0.2">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row>
    <row r="195" spans="2:46" ht="12" customHeight="1" x14ac:dyDescent="0.2">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row>
    <row r="196" spans="2:46" ht="12" customHeight="1" x14ac:dyDescent="0.2">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row>
    <row r="197" spans="2:46" ht="12" customHeight="1" x14ac:dyDescent="0.2">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row>
    <row r="198" spans="2:46" ht="12" customHeight="1" x14ac:dyDescent="0.2">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row>
    <row r="199" spans="2:46" ht="12" customHeight="1" x14ac:dyDescent="0.2">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row>
    <row r="200" spans="2:46" ht="12" customHeight="1" x14ac:dyDescent="0.2">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row>
    <row r="201" spans="2:46" ht="12" customHeight="1" x14ac:dyDescent="0.2">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row>
    <row r="202" spans="2:46" ht="12" customHeight="1" x14ac:dyDescent="0.2">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row>
    <row r="203" spans="2:46" ht="12" customHeight="1" x14ac:dyDescent="0.2">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row>
    <row r="204" spans="2:46" ht="12" customHeight="1" x14ac:dyDescent="0.2">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row>
    <row r="205" spans="2:46" ht="12" customHeight="1" x14ac:dyDescent="0.2">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row>
    <row r="206" spans="2:46" ht="12" customHeight="1" x14ac:dyDescent="0.2">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row>
    <row r="207" spans="2:46" ht="12" customHeight="1" x14ac:dyDescent="0.2">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row>
    <row r="208" spans="2:46" ht="12" customHeight="1" x14ac:dyDescent="0.2">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row>
    <row r="209" spans="2:46" ht="12" customHeight="1" x14ac:dyDescent="0.2">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row>
    <row r="210" spans="2:46" ht="12" customHeight="1" x14ac:dyDescent="0.2">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row>
    <row r="211" spans="2:46" ht="12" customHeight="1" x14ac:dyDescent="0.2">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row>
    <row r="212" spans="2:46" ht="12" customHeight="1" x14ac:dyDescent="0.2">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row>
    <row r="213" spans="2:46" ht="12" customHeight="1" x14ac:dyDescent="0.2">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row>
    <row r="214" spans="2:46" ht="12" customHeight="1" x14ac:dyDescent="0.2">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row>
    <row r="215" spans="2:46" ht="12" customHeight="1" x14ac:dyDescent="0.2">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row>
    <row r="216" spans="2:46" ht="12" customHeight="1" x14ac:dyDescent="0.2">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row>
    <row r="217" spans="2:46" ht="12" customHeight="1" x14ac:dyDescent="0.2">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row>
    <row r="218" spans="2:46" ht="12" customHeight="1" x14ac:dyDescent="0.2">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row>
    <row r="219" spans="2:46" ht="12" customHeight="1" x14ac:dyDescent="0.2">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row>
    <row r="220" spans="2:46" ht="12" customHeight="1" x14ac:dyDescent="0.2">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row>
    <row r="221" spans="2:46" ht="12" customHeight="1" x14ac:dyDescent="0.2">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row>
    <row r="222" spans="2:46" ht="12" customHeight="1" x14ac:dyDescent="0.2">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row>
    <row r="223" spans="2:46" ht="12" customHeight="1" x14ac:dyDescent="0.2">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row>
    <row r="224" spans="2:46" ht="12" customHeight="1" x14ac:dyDescent="0.2">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row>
    <row r="225" spans="2:46" ht="12" customHeight="1" x14ac:dyDescent="0.2">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row>
    <row r="226" spans="2:46" ht="12" customHeight="1" x14ac:dyDescent="0.2">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row>
    <row r="227" spans="2:46" ht="12" customHeight="1" x14ac:dyDescent="0.2">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row>
    <row r="228" spans="2:46" ht="12" customHeight="1" x14ac:dyDescent="0.2">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row>
    <row r="229" spans="2:46" ht="12" customHeight="1" x14ac:dyDescent="0.2">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row>
    <row r="230" spans="2:46" ht="12" customHeight="1" x14ac:dyDescent="0.2">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row>
    <row r="231" spans="2:46" ht="12" customHeight="1" x14ac:dyDescent="0.2">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row>
    <row r="232" spans="2:46" ht="12" customHeight="1" x14ac:dyDescent="0.2">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row>
    <row r="233" spans="2:46" ht="12" customHeight="1" x14ac:dyDescent="0.2">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row>
    <row r="234" spans="2:46" ht="12" customHeight="1" x14ac:dyDescent="0.2">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row>
    <row r="235" spans="2:46" ht="12" customHeight="1" x14ac:dyDescent="0.2">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row>
    <row r="236" spans="2:46" ht="12" customHeight="1" x14ac:dyDescent="0.2">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row>
    <row r="237" spans="2:46" ht="12" customHeight="1" x14ac:dyDescent="0.2">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row>
    <row r="238" spans="2:46" ht="12" customHeight="1" x14ac:dyDescent="0.2">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row>
    <row r="239" spans="2:46" ht="12" customHeight="1" x14ac:dyDescent="0.2">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row>
    <row r="240" spans="2:46" ht="12" customHeight="1" x14ac:dyDescent="0.2">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row>
    <row r="241" spans="2:46" ht="12" customHeight="1" x14ac:dyDescent="0.2">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row>
    <row r="242" spans="2:46" ht="12" customHeight="1" x14ac:dyDescent="0.2">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row>
    <row r="243" spans="2:46" ht="12" customHeight="1" x14ac:dyDescent="0.2">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row>
    <row r="244" spans="2:46" ht="12" customHeight="1" x14ac:dyDescent="0.2">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row>
    <row r="245" spans="2:46" ht="12" customHeight="1" x14ac:dyDescent="0.2">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row>
    <row r="246" spans="2:46" ht="12" customHeight="1" x14ac:dyDescent="0.2">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row>
    <row r="247" spans="2:46" ht="12" customHeight="1" x14ac:dyDescent="0.2">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row>
    <row r="248" spans="2:46" ht="12" customHeight="1" x14ac:dyDescent="0.2">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row>
    <row r="249" spans="2:46" ht="12" customHeight="1" x14ac:dyDescent="0.2">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row>
    <row r="250" spans="2:46" ht="12" customHeight="1" x14ac:dyDescent="0.2">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row>
    <row r="251" spans="2:46" ht="12" customHeight="1" x14ac:dyDescent="0.2">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row>
    <row r="252" spans="2:46" ht="12" customHeight="1" x14ac:dyDescent="0.2">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row>
    <row r="253" spans="2:46" ht="12" customHeight="1" x14ac:dyDescent="0.2">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row>
    <row r="254" spans="2:46" ht="12" customHeight="1" x14ac:dyDescent="0.2">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row>
    <row r="255" spans="2:46" ht="12" customHeight="1" x14ac:dyDescent="0.2">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row>
    <row r="256" spans="2:46" ht="12" customHeight="1" x14ac:dyDescent="0.2">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row>
    <row r="257" spans="2:46" ht="12" customHeight="1" x14ac:dyDescent="0.2">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row>
    <row r="258" spans="2:46" ht="12" customHeight="1" x14ac:dyDescent="0.2">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row>
    <row r="259" spans="2:46" ht="12" customHeight="1" x14ac:dyDescent="0.2">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row>
    <row r="260" spans="2:46" ht="12" customHeight="1" x14ac:dyDescent="0.2">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row>
    <row r="261" spans="2:46" ht="12" customHeight="1" x14ac:dyDescent="0.2">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row>
    <row r="262" spans="2:46" ht="12" customHeight="1" x14ac:dyDescent="0.2">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row>
    <row r="263" spans="2:46" ht="12" customHeight="1" x14ac:dyDescent="0.2">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row>
    <row r="264" spans="2:46" ht="12" customHeight="1" x14ac:dyDescent="0.2">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row>
    <row r="265" spans="2:46" ht="12" customHeight="1" x14ac:dyDescent="0.2">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row>
    <row r="266" spans="2:46" ht="12" customHeight="1" x14ac:dyDescent="0.2">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row>
    <row r="267" spans="2:46" ht="12" customHeight="1" x14ac:dyDescent="0.2">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row>
    <row r="268" spans="2:46" ht="12" customHeight="1" x14ac:dyDescent="0.2">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row>
    <row r="269" spans="2:46" ht="12" customHeight="1" x14ac:dyDescent="0.2">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row>
    <row r="270" spans="2:46" ht="12" customHeight="1" x14ac:dyDescent="0.2">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row>
    <row r="271" spans="2:46" ht="12" customHeight="1" x14ac:dyDescent="0.2">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row>
    <row r="272" spans="2:46" ht="12" customHeight="1" x14ac:dyDescent="0.2">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row>
    <row r="273" spans="2:46" ht="12" customHeight="1" x14ac:dyDescent="0.2">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row>
    <row r="274" spans="2:46" ht="12" customHeight="1" x14ac:dyDescent="0.2">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row>
    <row r="275" spans="2:46" ht="12" customHeight="1" x14ac:dyDescent="0.2">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row>
    <row r="276" spans="2:46" ht="12" customHeight="1" x14ac:dyDescent="0.2">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row>
    <row r="277" spans="2:46" ht="12" customHeight="1" x14ac:dyDescent="0.2">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row>
    <row r="278" spans="2:46" ht="12" customHeight="1" x14ac:dyDescent="0.2">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row>
    <row r="279" spans="2:46" ht="12" customHeight="1" x14ac:dyDescent="0.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row>
    <row r="280" spans="2:46" ht="12" customHeight="1" x14ac:dyDescent="0.2">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row>
    <row r="281" spans="2:46" ht="12" customHeight="1" x14ac:dyDescent="0.2">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row>
    <row r="282" spans="2:46" ht="12" customHeight="1" x14ac:dyDescent="0.2">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row>
    <row r="283" spans="2:46" ht="12" customHeight="1" x14ac:dyDescent="0.2">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row>
    <row r="284" spans="2:46" ht="12" customHeight="1" x14ac:dyDescent="0.2">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row>
    <row r="285" spans="2:46" ht="12" customHeight="1" x14ac:dyDescent="0.2">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row>
    <row r="286" spans="2:46" ht="12" customHeight="1" x14ac:dyDescent="0.2">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row>
    <row r="287" spans="2:46" ht="12" customHeight="1" x14ac:dyDescent="0.2">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row>
    <row r="288" spans="2:46" ht="12" customHeight="1" x14ac:dyDescent="0.2">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row>
    <row r="289" spans="2:46" ht="12" customHeight="1" x14ac:dyDescent="0.2">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row>
    <row r="290" spans="2:46" ht="12" customHeight="1" x14ac:dyDescent="0.2">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row>
    <row r="291" spans="2:46" ht="12" customHeight="1" x14ac:dyDescent="0.2">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row>
    <row r="292" spans="2:46" ht="12" customHeight="1" x14ac:dyDescent="0.2">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row>
    <row r="293" spans="2:46" ht="12" customHeight="1" x14ac:dyDescent="0.2">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row>
    <row r="294" spans="2:46" ht="12" customHeight="1" x14ac:dyDescent="0.2">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row>
    <row r="295" spans="2:46" ht="12" customHeight="1" x14ac:dyDescent="0.2">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row>
    <row r="296" spans="2:46" ht="12" customHeight="1" x14ac:dyDescent="0.2">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row>
    <row r="297" spans="2:46" ht="12" customHeight="1" x14ac:dyDescent="0.2">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row>
    <row r="298" spans="2:46" ht="12" customHeight="1" x14ac:dyDescent="0.2">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row>
    <row r="299" spans="2:46" ht="12" customHeight="1" x14ac:dyDescent="0.2">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row>
    <row r="300" spans="2:46" ht="12" customHeight="1" x14ac:dyDescent="0.2">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row>
    <row r="301" spans="2:46" ht="12" customHeight="1" x14ac:dyDescent="0.2">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row>
    <row r="302" spans="2:46" ht="12" customHeight="1" x14ac:dyDescent="0.2">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row>
    <row r="303" spans="2:46" ht="12" customHeight="1" x14ac:dyDescent="0.2">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row>
    <row r="304" spans="2:46" ht="12" customHeight="1" x14ac:dyDescent="0.2">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row>
    <row r="305" spans="2:46" ht="12" customHeight="1" x14ac:dyDescent="0.2">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row>
    <row r="306" spans="2:46" ht="12" customHeight="1" x14ac:dyDescent="0.2">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row>
    <row r="307" spans="2:46" ht="12" customHeight="1" x14ac:dyDescent="0.2">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row>
    <row r="308" spans="2:46" ht="12" customHeight="1" x14ac:dyDescent="0.2">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row>
    <row r="309" spans="2:46" ht="12" customHeight="1" x14ac:dyDescent="0.2">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row>
    <row r="310" spans="2:46" ht="12" customHeight="1" x14ac:dyDescent="0.2">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row>
    <row r="311" spans="2:46" ht="12" customHeight="1" x14ac:dyDescent="0.2">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row>
    <row r="312" spans="2:46" ht="12" customHeight="1" x14ac:dyDescent="0.2">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row>
    <row r="313" spans="2:46" ht="12" customHeight="1" x14ac:dyDescent="0.2">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row>
    <row r="314" spans="2:46" ht="12" customHeight="1" x14ac:dyDescent="0.2">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row>
    <row r="315" spans="2:46" ht="12" customHeight="1" x14ac:dyDescent="0.2">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row>
    <row r="316" spans="2:46" ht="12" customHeight="1" x14ac:dyDescent="0.2">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row>
    <row r="317" spans="2:46" ht="12" customHeight="1" x14ac:dyDescent="0.2">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row>
    <row r="318" spans="2:46" ht="12" customHeight="1" x14ac:dyDescent="0.2">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row>
    <row r="319" spans="2:46" ht="12" customHeight="1" x14ac:dyDescent="0.2">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row>
    <row r="320" spans="2:46" ht="12" customHeight="1" x14ac:dyDescent="0.2">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row>
    <row r="321" spans="2:46" ht="12" customHeight="1" x14ac:dyDescent="0.2">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row>
    <row r="322" spans="2:46" ht="12" customHeight="1" x14ac:dyDescent="0.2">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row>
    <row r="323" spans="2:46" ht="12" customHeight="1" x14ac:dyDescent="0.2">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row>
    <row r="324" spans="2:46" ht="12" customHeight="1" x14ac:dyDescent="0.2">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row>
    <row r="325" spans="2:46" ht="12" customHeight="1" x14ac:dyDescent="0.2">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row>
    <row r="326" spans="2:46" ht="12" customHeight="1" x14ac:dyDescent="0.2">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row>
    <row r="327" spans="2:46" ht="12" customHeight="1" x14ac:dyDescent="0.2">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row>
    <row r="328" spans="2:46" ht="12" customHeight="1" x14ac:dyDescent="0.2">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row>
    <row r="329" spans="2:46" ht="12" customHeight="1" x14ac:dyDescent="0.2">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row>
    <row r="330" spans="2:46" ht="12" customHeight="1" x14ac:dyDescent="0.2">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row>
    <row r="331" spans="2:46" ht="12" customHeight="1" x14ac:dyDescent="0.2">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row>
    <row r="332" spans="2:46" ht="12" customHeight="1" x14ac:dyDescent="0.2">
      <c r="B332" s="57"/>
      <c r="C332" s="57"/>
      <c r="D332" s="57"/>
      <c r="E332" s="57"/>
      <c r="F332" s="57"/>
      <c r="G332" s="57"/>
      <c r="H332" s="57"/>
      <c r="I332" s="57"/>
      <c r="J332" s="57"/>
      <c r="K332" s="57"/>
      <c r="L332" s="57"/>
      <c r="M332" s="57"/>
      <c r="N332" s="57"/>
    </row>
    <row r="333" spans="2:46" ht="12" customHeight="1" x14ac:dyDescent="0.2">
      <c r="B333" s="57"/>
      <c r="C333" s="57"/>
      <c r="D333" s="57"/>
      <c r="E333" s="57"/>
      <c r="F333" s="57"/>
      <c r="G333" s="57"/>
      <c r="H333" s="57"/>
      <c r="I333" s="57"/>
      <c r="J333" s="57"/>
      <c r="K333" s="57"/>
      <c r="L333" s="57"/>
      <c r="M333" s="57"/>
      <c r="N333" s="57"/>
    </row>
    <row r="334" spans="2:46" ht="12" customHeight="1" x14ac:dyDescent="0.2">
      <c r="B334" s="57"/>
      <c r="C334" s="57"/>
      <c r="D334" s="57"/>
      <c r="E334" s="57"/>
      <c r="F334" s="57"/>
      <c r="G334" s="57"/>
      <c r="H334" s="57"/>
      <c r="I334" s="57"/>
      <c r="J334" s="57"/>
      <c r="K334" s="57"/>
      <c r="L334" s="57"/>
      <c r="M334" s="57"/>
      <c r="N334" s="57"/>
    </row>
    <row r="335" spans="2:46" ht="12" customHeight="1" x14ac:dyDescent="0.2">
      <c r="B335" s="57"/>
      <c r="C335" s="57"/>
      <c r="D335" s="57"/>
      <c r="E335" s="57"/>
      <c r="F335" s="57"/>
      <c r="G335" s="57"/>
      <c r="H335" s="57"/>
      <c r="I335" s="57"/>
      <c r="J335" s="57"/>
      <c r="K335" s="57"/>
      <c r="L335" s="57"/>
      <c r="M335" s="57"/>
    </row>
  </sheetData>
  <sheetProtection algorithmName="SHA-512" hashValue="pJnXpwQiPzKDI7M4PZdYEBaXj4L5bd1H0KUvBYXXzJtavZ6M0n5DBCNJ/MnEtsoDHbZNLGLw85KGy+GdqVk12Q==" saltValue="XwyINrxkSMKOpRyEjRNnzg==" spinCount="100000" sheet="1" selectLockedCells="1"/>
  <mergeCells count="18">
    <mergeCell ref="C4:E4"/>
    <mergeCell ref="E18:F18"/>
    <mergeCell ref="L27:M27"/>
    <mergeCell ref="F4:G4"/>
    <mergeCell ref="E27:G28"/>
    <mergeCell ref="J4:M8"/>
    <mergeCell ref="F5:I6"/>
    <mergeCell ref="C5:E6"/>
    <mergeCell ref="J9:L10"/>
    <mergeCell ref="K11:K12"/>
    <mergeCell ref="D52:F52"/>
    <mergeCell ref="E47:H47"/>
    <mergeCell ref="E48:G48"/>
    <mergeCell ref="F11:I12"/>
    <mergeCell ref="E46:G46"/>
    <mergeCell ref="E45:G45"/>
    <mergeCell ref="E19:G19"/>
    <mergeCell ref="E34:H34"/>
  </mergeCells>
  <phoneticPr fontId="0" type="noConversion"/>
  <conditionalFormatting sqref="K56:K57">
    <cfRule type="expression" dxfId="53" priority="46" stopIfTrue="1">
      <formula>ISERROR($K$56)</formula>
    </cfRule>
  </conditionalFormatting>
  <conditionalFormatting sqref="K49">
    <cfRule type="expression" dxfId="52" priority="49" stopIfTrue="1">
      <formula>ISERROR($K$49)</formula>
    </cfRule>
  </conditionalFormatting>
  <conditionalFormatting sqref="K35">
    <cfRule type="expression" dxfId="51" priority="51" stopIfTrue="1">
      <formula>ISERROR($K$35)</formula>
    </cfRule>
  </conditionalFormatting>
  <conditionalFormatting sqref="K45 K47">
    <cfRule type="containsErrors" dxfId="50" priority="7" stopIfTrue="1">
      <formula>ISERROR(K45)</formula>
    </cfRule>
    <cfRule type="cellIs" dxfId="49" priority="20" stopIfTrue="1" operator="equal">
      <formula>0</formula>
    </cfRule>
  </conditionalFormatting>
  <conditionalFormatting sqref="K27">
    <cfRule type="containsErrors" dxfId="48" priority="3" stopIfTrue="1">
      <formula>ISERROR(K27)</formula>
    </cfRule>
  </conditionalFormatting>
  <conditionalFormatting sqref="K29">
    <cfRule type="containsErrors" dxfId="47" priority="2" stopIfTrue="1">
      <formula>ISERROR(K29)</formula>
    </cfRule>
  </conditionalFormatting>
  <conditionalFormatting sqref="K11:K12">
    <cfRule type="containsErrors" dxfId="46" priority="1" stopIfTrue="1">
      <formula>ISERROR(K11)</formula>
    </cfRule>
  </conditionalFormatting>
  <hyperlinks>
    <hyperlink ref="E34" location="GEOMETRY!F8" display="ROAD WIDTH (shoulder to shoulder)" xr:uid="{00000000-0004-0000-0000-000000000000}"/>
    <hyperlink ref="E18" location="'TRAFFIC &amp; ACCIDENTS'!D10" display="TRAFFIC VOLUME" xr:uid="{00000000-0004-0000-0000-000001000000}"/>
    <hyperlink ref="E19" location="'TRAFFIC &amp; ACCIDENTS'!I10" display="TRAFFIC ACCIDENTS" xr:uid="{00000000-0004-0000-0000-000002000000}"/>
    <hyperlink ref="E26" location="STRUCTURE!F11" display="SURFACE" xr:uid="{00000000-0004-0000-0000-000003000000}"/>
    <hyperlink ref="E45" location="'ROADSIDE SAFETY'!C10" display="SIDESLOPES &amp; GUARDRAIL" xr:uid="{00000000-0004-0000-0000-000004000000}"/>
    <hyperlink ref="E46" location="'ROADSIDE SAFETY'!C19" display="CULVERT END TREATMENTS" xr:uid="{00000000-0004-0000-0000-000005000000}"/>
    <hyperlink ref="E47" location="'ROADSIDE SAFETY'!D24" display="REMOVE STRUCTURES &amp; OBSTRUCTIONS" xr:uid="{00000000-0004-0000-0000-000006000000}"/>
    <hyperlink ref="E48" location="'ROADSIDE SAFETY'!C35" display="RELOCATE UTILITY POLES" xr:uid="{00000000-0004-0000-0000-000007000000}"/>
    <hyperlink ref="E27" location="STRUCTURE!F12" display="SUBSURFACE" xr:uid="{00000000-0004-0000-0000-000008000000}"/>
    <hyperlink ref="E34:H34" location="'GEOMETRY '!F6" display="ROAD WIDTH (shoulder to shoulder)" xr:uid="{00000000-0004-0000-0000-000009000000}"/>
    <hyperlink ref="E19:G19" location="'TRAFFIC &amp; ACCIDENTS'!K10" display="TRAFFIC ACCIDENTS" xr:uid="{00000000-0004-0000-0000-00000A000000}"/>
    <hyperlink ref="E18:F18" location="'TRAFFIC &amp; ACCIDENTS'!D10" display="TRAFFIC VOLUME" xr:uid="{00000000-0004-0000-0000-00000B000000}"/>
    <hyperlink ref="D52:F52" location="'LOCAL SIGNIFICANCE'!D13" display="SPECIAL RATING:" xr:uid="{00000000-0004-0000-0000-00000C000000}"/>
  </hyperlinks>
  <pageMargins left="0.42" right="0.5" top="0.5" bottom="0.4" header="0.3" footer="0.25"/>
  <pageSetup orientation="portrait" horizontalDpi="4294967292" verticalDpi="4294967292" r:id="rId1"/>
  <headerFooter alignWithMargins="0">
    <oddFooter xml:space="preserve">&amp;L&amp;8&amp;F&amp;C&amp;6
</oddFooter>
  </headerFooter>
  <rowBreaks count="1" manualBreakCount="1">
    <brk id="61"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S66"/>
  <sheetViews>
    <sheetView showGridLines="0" zoomScaleNormal="100" workbookViewId="0">
      <selection activeCell="K12" sqref="K12"/>
    </sheetView>
  </sheetViews>
  <sheetFormatPr defaultRowHeight="12.75" x14ac:dyDescent="0.2"/>
  <cols>
    <col min="1" max="1" width="2.5703125" style="209" customWidth="1"/>
    <col min="2" max="5" width="9.140625" style="209"/>
    <col min="6" max="6" width="9.140625" style="209" customWidth="1"/>
    <col min="7" max="8" width="9.140625" style="209"/>
    <col min="9" max="9" width="4.5703125" style="209" customWidth="1"/>
    <col min="10" max="16384" width="9.140625" style="209"/>
  </cols>
  <sheetData>
    <row r="3" spans="2:13" ht="13.5" thickBot="1" x14ac:dyDescent="0.25"/>
    <row r="4" spans="2:13" ht="13.5" thickTop="1" x14ac:dyDescent="0.2">
      <c r="B4" s="114"/>
      <c r="C4" s="115"/>
      <c r="D4" s="115"/>
      <c r="E4" s="115"/>
      <c r="F4" s="115"/>
      <c r="G4" s="115"/>
      <c r="H4" s="115"/>
      <c r="I4" s="115"/>
      <c r="J4" s="115"/>
      <c r="K4" s="115"/>
      <c r="L4" s="116"/>
    </row>
    <row r="5" spans="2:13" ht="12.75" customHeight="1" x14ac:dyDescent="0.2">
      <c r="B5" s="109"/>
      <c r="C5" s="126"/>
      <c r="D5" s="205" t="s">
        <v>37</v>
      </c>
      <c r="E5" s="205"/>
      <c r="F5" s="205"/>
      <c r="G5" s="205"/>
      <c r="H5" s="205"/>
      <c r="I5" s="205"/>
      <c r="J5" s="205"/>
      <c r="K5" s="38"/>
      <c r="L5" s="110"/>
      <c r="M5" s="245"/>
    </row>
    <row r="6" spans="2:13" ht="12.75" customHeight="1" x14ac:dyDescent="0.2">
      <c r="B6" s="109"/>
      <c r="C6" s="126"/>
      <c r="D6" s="205"/>
      <c r="E6" s="205"/>
      <c r="F6" s="205"/>
      <c r="G6" s="205"/>
      <c r="H6" s="205"/>
      <c r="I6" s="471" t="s">
        <v>265</v>
      </c>
      <c r="J6" s="471"/>
      <c r="K6" s="471"/>
      <c r="L6" s="110"/>
      <c r="M6" s="245"/>
    </row>
    <row r="7" spans="2:13" ht="15.75" x14ac:dyDescent="0.2">
      <c r="B7" s="109"/>
      <c r="C7" s="108"/>
      <c r="D7" s="108"/>
      <c r="E7" s="90"/>
      <c r="F7" s="25"/>
      <c r="G7" s="25"/>
      <c r="H7" s="25"/>
      <c r="I7" s="471"/>
      <c r="J7" s="471"/>
      <c r="K7" s="471"/>
      <c r="L7" s="110"/>
      <c r="M7" s="245"/>
    </row>
    <row r="8" spans="2:13" x14ac:dyDescent="0.2">
      <c r="B8" s="109"/>
      <c r="C8" s="36" t="s">
        <v>97</v>
      </c>
      <c r="D8" s="292"/>
      <c r="E8" s="92"/>
      <c r="F8" s="25"/>
      <c r="G8" s="25"/>
      <c r="H8" s="25"/>
      <c r="I8" s="467" t="s">
        <v>26</v>
      </c>
      <c r="J8" s="467"/>
      <c r="K8" s="292"/>
      <c r="L8" s="110"/>
      <c r="M8" s="245"/>
    </row>
    <row r="9" spans="2:13" x14ac:dyDescent="0.2">
      <c r="B9" s="109"/>
      <c r="C9" s="25"/>
      <c r="D9" s="25"/>
      <c r="E9" s="93"/>
      <c r="F9" s="25"/>
      <c r="G9" s="25"/>
      <c r="H9" s="25"/>
      <c r="I9" s="25"/>
      <c r="J9" s="90"/>
      <c r="K9" s="431"/>
      <c r="L9" s="110"/>
      <c r="M9" s="255"/>
    </row>
    <row r="10" spans="2:13" x14ac:dyDescent="0.2">
      <c r="B10" s="109"/>
      <c r="C10" s="94" t="s">
        <v>5</v>
      </c>
      <c r="D10" s="87"/>
      <c r="E10" s="326"/>
      <c r="F10" s="97" t="s">
        <v>185</v>
      </c>
      <c r="G10" s="97"/>
      <c r="H10" s="25"/>
      <c r="I10" s="25"/>
      <c r="J10" s="37" t="s">
        <v>189</v>
      </c>
      <c r="K10" s="87"/>
      <c r="L10" s="110"/>
      <c r="M10" s="245"/>
    </row>
    <row r="11" spans="2:13" x14ac:dyDescent="0.2">
      <c r="B11" s="109"/>
      <c r="C11" s="94" t="s">
        <v>22</v>
      </c>
      <c r="D11" s="87"/>
      <c r="E11" s="327"/>
      <c r="F11" s="97" t="s">
        <v>186</v>
      </c>
      <c r="G11" s="97"/>
      <c r="H11" s="25"/>
      <c r="I11" s="25"/>
      <c r="J11" s="37" t="s">
        <v>187</v>
      </c>
      <c r="K11" s="87"/>
      <c r="L11" s="110"/>
      <c r="M11" s="256"/>
    </row>
    <row r="12" spans="2:13" x14ac:dyDescent="0.2">
      <c r="B12" s="109"/>
      <c r="C12" s="94" t="s">
        <v>38</v>
      </c>
      <c r="D12" s="22">
        <f>'2R SUMMARY'!F7</f>
        <v>0</v>
      </c>
      <c r="E12" s="95" t="s">
        <v>25</v>
      </c>
      <c r="F12" s="25"/>
      <c r="G12" s="25"/>
      <c r="H12" s="25"/>
      <c r="I12" s="25"/>
      <c r="J12" s="37" t="s">
        <v>188</v>
      </c>
      <c r="K12" s="87"/>
      <c r="L12" s="110"/>
      <c r="M12" s="256"/>
    </row>
    <row r="13" spans="2:13" x14ac:dyDescent="0.2">
      <c r="B13" s="109"/>
      <c r="C13" s="25"/>
      <c r="D13" s="25"/>
      <c r="E13" s="25"/>
      <c r="F13" s="25"/>
      <c r="G13" s="25"/>
      <c r="H13" s="25"/>
      <c r="I13" s="289"/>
      <c r="J13" s="25"/>
      <c r="K13" s="290" t="s">
        <v>236</v>
      </c>
      <c r="L13" s="110"/>
      <c r="M13" s="256"/>
    </row>
    <row r="14" spans="2:13" ht="13.5" thickBot="1" x14ac:dyDescent="0.25">
      <c r="B14" s="117"/>
      <c r="C14" s="118"/>
      <c r="D14" s="118"/>
      <c r="E14" s="118"/>
      <c r="F14" s="118"/>
      <c r="G14" s="118"/>
      <c r="H14" s="118"/>
      <c r="I14" s="118"/>
      <c r="J14" s="118"/>
      <c r="K14" s="118"/>
      <c r="L14" s="119"/>
    </row>
    <row r="15" spans="2:13" ht="13.5" thickTop="1" x14ac:dyDescent="0.2"/>
    <row r="20" spans="2:18" x14ac:dyDescent="0.2">
      <c r="B20" s="293" t="s">
        <v>214</v>
      </c>
      <c r="C20" s="294"/>
      <c r="D20" s="294"/>
      <c r="E20" s="294"/>
      <c r="F20" s="294"/>
      <c r="G20" s="294"/>
      <c r="H20" s="294"/>
      <c r="I20" s="294"/>
      <c r="J20" s="246"/>
      <c r="K20" s="294"/>
      <c r="L20" s="246"/>
      <c r="M20" s="294"/>
      <c r="N20" s="294"/>
      <c r="O20" s="294"/>
      <c r="P20" s="294"/>
      <c r="Q20" s="294"/>
      <c r="R20" s="294"/>
    </row>
    <row r="21" spans="2:18" x14ac:dyDescent="0.2">
      <c r="B21" s="294"/>
      <c r="C21" s="294"/>
      <c r="D21" s="294"/>
      <c r="E21" s="294"/>
      <c r="F21" s="294"/>
      <c r="G21" s="294"/>
      <c r="H21" s="246"/>
      <c r="I21" s="294"/>
      <c r="J21" s="246"/>
      <c r="K21" s="294"/>
      <c r="L21" s="294"/>
      <c r="M21" s="294"/>
      <c r="N21" s="294"/>
      <c r="O21" s="294"/>
      <c r="P21" s="294"/>
    </row>
    <row r="22" spans="2:18" x14ac:dyDescent="0.2">
      <c r="B22" s="294"/>
      <c r="C22" s="294"/>
      <c r="D22" s="294"/>
      <c r="E22" s="294"/>
      <c r="F22" s="294"/>
      <c r="G22" s="294"/>
      <c r="H22" s="246"/>
      <c r="I22" s="294"/>
      <c r="J22" s="246"/>
      <c r="K22" s="294"/>
      <c r="L22" s="294"/>
      <c r="M22" s="294"/>
      <c r="N22" s="294"/>
      <c r="O22" s="294"/>
      <c r="P22" s="295"/>
    </row>
    <row r="23" spans="2:18" x14ac:dyDescent="0.2">
      <c r="B23" s="294"/>
      <c r="C23" s="294" t="s">
        <v>152</v>
      </c>
      <c r="D23" s="294"/>
      <c r="E23" s="294"/>
      <c r="F23" s="272">
        <f>D10</f>
        <v>0</v>
      </c>
      <c r="H23" s="294" t="s">
        <v>153</v>
      </c>
      <c r="I23" s="294"/>
      <c r="J23" s="272">
        <f>E10</f>
        <v>0</v>
      </c>
      <c r="K23" s="245"/>
      <c r="L23" s="294"/>
      <c r="M23" s="294"/>
      <c r="N23" s="294"/>
      <c r="O23" s="294"/>
      <c r="P23" s="295"/>
    </row>
    <row r="24" spans="2:18" x14ac:dyDescent="0.2">
      <c r="B24" s="294"/>
      <c r="C24" s="294" t="s">
        <v>154</v>
      </c>
      <c r="D24" s="294"/>
      <c r="E24" s="294"/>
      <c r="F24" s="294"/>
      <c r="H24" s="294"/>
      <c r="I24" s="294"/>
      <c r="J24" s="246"/>
      <c r="K24" s="294"/>
      <c r="L24" s="294"/>
      <c r="M24" s="294"/>
      <c r="N24" s="294"/>
      <c r="O24" s="294"/>
      <c r="P24" s="296"/>
    </row>
    <row r="25" spans="2:18" x14ac:dyDescent="0.2">
      <c r="B25" s="294"/>
      <c r="C25" s="294" t="s">
        <v>155</v>
      </c>
      <c r="D25" s="294"/>
      <c r="E25" s="294"/>
      <c r="F25" s="272">
        <f>D11</f>
        <v>0</v>
      </c>
      <c r="H25" s="294" t="s">
        <v>156</v>
      </c>
      <c r="I25" s="294"/>
      <c r="J25" s="272">
        <f>E11</f>
        <v>0</v>
      </c>
      <c r="K25" s="245"/>
      <c r="L25" s="294"/>
      <c r="M25" s="294"/>
      <c r="N25" s="294"/>
      <c r="O25" s="294"/>
      <c r="P25" s="274"/>
    </row>
    <row r="26" spans="2:18" x14ac:dyDescent="0.2">
      <c r="B26" s="294"/>
      <c r="C26" s="294"/>
      <c r="D26" s="294"/>
      <c r="E26" s="294"/>
      <c r="F26" s="294"/>
      <c r="G26" s="294"/>
      <c r="H26" s="246"/>
      <c r="I26" s="294"/>
      <c r="J26" s="246"/>
      <c r="K26" s="294"/>
      <c r="L26" s="294"/>
      <c r="M26" s="294"/>
      <c r="N26" s="294"/>
      <c r="O26" s="294"/>
      <c r="P26" s="294"/>
    </row>
    <row r="27" spans="2:18" x14ac:dyDescent="0.2">
      <c r="B27" s="294"/>
      <c r="C27" s="294" t="s">
        <v>157</v>
      </c>
      <c r="D27" s="294"/>
      <c r="E27" s="294"/>
      <c r="F27" s="294"/>
      <c r="G27" s="294"/>
      <c r="H27" s="246"/>
      <c r="I27" s="294"/>
      <c r="J27" s="246"/>
      <c r="K27" s="294"/>
      <c r="L27" s="294"/>
      <c r="M27" s="294"/>
      <c r="N27" s="294"/>
      <c r="O27" s="294"/>
      <c r="P27" s="294"/>
    </row>
    <row r="28" spans="2:18" x14ac:dyDescent="0.2">
      <c r="B28" s="294"/>
      <c r="C28" s="294" t="s">
        <v>158</v>
      </c>
      <c r="D28" s="294"/>
      <c r="E28" s="294"/>
      <c r="F28" s="294"/>
      <c r="G28" s="294"/>
      <c r="H28" s="246"/>
      <c r="I28" s="294"/>
      <c r="J28" s="246"/>
      <c r="K28" s="294"/>
      <c r="L28" s="294"/>
      <c r="M28" s="294"/>
      <c r="N28" s="294"/>
      <c r="O28" s="294"/>
      <c r="P28" s="294"/>
    </row>
    <row r="29" spans="2:18" x14ac:dyDescent="0.2">
      <c r="B29" s="294"/>
      <c r="C29" s="294"/>
      <c r="D29" s="294"/>
      <c r="E29" s="294"/>
      <c r="F29" s="294"/>
      <c r="G29" s="294"/>
      <c r="H29" s="246"/>
      <c r="I29" s="294"/>
      <c r="J29" s="246"/>
      <c r="K29" s="294"/>
      <c r="L29" s="294"/>
      <c r="P29" s="294"/>
    </row>
    <row r="30" spans="2:18" x14ac:dyDescent="0.2">
      <c r="B30" s="294"/>
      <c r="C30" s="294"/>
      <c r="D30" s="294"/>
      <c r="E30" s="294"/>
      <c r="F30" s="294"/>
      <c r="G30" s="294"/>
      <c r="H30" s="246"/>
      <c r="I30" s="294"/>
      <c r="J30" s="246"/>
      <c r="K30" s="294"/>
      <c r="L30" s="294"/>
      <c r="P30" s="294"/>
    </row>
    <row r="31" spans="2:18" x14ac:dyDescent="0.2">
      <c r="B31" s="294"/>
      <c r="C31" s="294"/>
      <c r="D31" s="294"/>
      <c r="E31" s="294"/>
      <c r="F31" s="294"/>
      <c r="J31" s="294"/>
      <c r="O31" s="294"/>
    </row>
    <row r="32" spans="2:18" x14ac:dyDescent="0.2">
      <c r="C32" s="294" t="s">
        <v>159</v>
      </c>
      <c r="D32" s="294"/>
      <c r="E32" s="294"/>
      <c r="F32" s="294"/>
      <c r="G32" s="246"/>
      <c r="H32" s="294"/>
      <c r="I32" s="246"/>
      <c r="J32" s="468" t="s">
        <v>4</v>
      </c>
      <c r="K32" s="469"/>
      <c r="L32" s="470"/>
      <c r="O32" s="294"/>
    </row>
    <row r="33" spans="2:19" x14ac:dyDescent="0.2">
      <c r="D33" s="294" t="s">
        <v>2</v>
      </c>
      <c r="E33" s="294"/>
      <c r="F33" s="294"/>
      <c r="G33" s="246"/>
      <c r="H33" s="294"/>
      <c r="I33" s="246"/>
      <c r="J33" s="297"/>
      <c r="K33" s="251"/>
      <c r="L33" s="298"/>
      <c r="O33" s="294"/>
    </row>
    <row r="34" spans="2:19" x14ac:dyDescent="0.2">
      <c r="C34" s="246" t="s">
        <v>160</v>
      </c>
      <c r="E34" s="246" t="s">
        <v>160</v>
      </c>
      <c r="G34" s="246"/>
      <c r="H34" s="246"/>
      <c r="I34" s="246"/>
      <c r="J34" s="297" t="s">
        <v>5</v>
      </c>
      <c r="K34" s="251"/>
      <c r="L34" s="299" t="s">
        <v>86</v>
      </c>
      <c r="O34" s="294"/>
    </row>
    <row r="35" spans="2:19" x14ac:dyDescent="0.2">
      <c r="C35" s="300" t="s">
        <v>23</v>
      </c>
      <c r="E35" s="300" t="s">
        <v>161</v>
      </c>
      <c r="G35" s="246"/>
      <c r="H35" s="300" t="s">
        <v>1</v>
      </c>
      <c r="I35" s="246"/>
      <c r="J35" s="301" t="s">
        <v>6</v>
      </c>
      <c r="K35" s="251"/>
      <c r="L35" s="302" t="s">
        <v>6</v>
      </c>
      <c r="O35" s="294"/>
    </row>
    <row r="36" spans="2:19" x14ac:dyDescent="0.2">
      <c r="C36" s="246"/>
      <c r="E36" s="246"/>
      <c r="G36" s="246"/>
      <c r="H36" s="246"/>
      <c r="I36" s="246"/>
      <c r="J36" s="297"/>
      <c r="K36" s="251"/>
      <c r="L36" s="298"/>
      <c r="O36" s="294"/>
    </row>
    <row r="37" spans="2:19" x14ac:dyDescent="0.2">
      <c r="C37" s="300" t="s">
        <v>162</v>
      </c>
      <c r="D37" s="303" t="s">
        <v>163</v>
      </c>
      <c r="E37" s="300" t="s">
        <v>164</v>
      </c>
      <c r="G37" s="246"/>
      <c r="H37" s="304">
        <v>1</v>
      </c>
      <c r="I37" s="246"/>
      <c r="J37" s="305">
        <f>IF(F23=0,0,J38)</f>
        <v>0</v>
      </c>
      <c r="K37" s="252" t="s">
        <v>154</v>
      </c>
      <c r="L37" s="306">
        <f>IF(F25=0,0,L38)</f>
        <v>0</v>
      </c>
      <c r="O37" s="294"/>
    </row>
    <row r="38" spans="2:19" x14ac:dyDescent="0.2">
      <c r="C38" s="246" t="s">
        <v>165</v>
      </c>
      <c r="E38" s="246" t="s">
        <v>166</v>
      </c>
      <c r="G38" s="246"/>
      <c r="H38" s="304">
        <v>2</v>
      </c>
      <c r="I38" s="246"/>
      <c r="J38" s="307">
        <f>IF(AND(F23&lt;501,F23&lt;&gt;0),H37,J39)</f>
        <v>2</v>
      </c>
      <c r="K38" s="253"/>
      <c r="L38" s="308">
        <f>IF(F25&lt;51,H37,L39)</f>
        <v>1</v>
      </c>
      <c r="O38" s="294"/>
    </row>
    <row r="39" spans="2:19" x14ac:dyDescent="0.2">
      <c r="C39" s="246" t="s">
        <v>167</v>
      </c>
      <c r="E39" s="246" t="s">
        <v>168</v>
      </c>
      <c r="G39" s="246"/>
      <c r="H39" s="304">
        <v>3</v>
      </c>
      <c r="I39" s="246"/>
      <c r="J39" s="309">
        <f>IF(F23&lt;1001,H38,J40)</f>
        <v>2</v>
      </c>
      <c r="K39" s="254"/>
      <c r="L39" s="309">
        <f>IF(F25&lt;101,H38,L40)</f>
        <v>2</v>
      </c>
      <c r="O39" s="294"/>
    </row>
    <row r="40" spans="2:19" x14ac:dyDescent="0.2">
      <c r="C40" s="246" t="s">
        <v>169</v>
      </c>
      <c r="E40" s="246" t="s">
        <v>170</v>
      </c>
      <c r="G40" s="246"/>
      <c r="H40" s="304">
        <v>4</v>
      </c>
      <c r="I40" s="246"/>
      <c r="J40" s="309">
        <f>IF(F23&lt;2001,H39,J41)</f>
        <v>3</v>
      </c>
      <c r="K40" s="254"/>
      <c r="L40" s="309">
        <f>IF(F25&lt;201,H39,L41)</f>
        <v>3</v>
      </c>
      <c r="O40" s="294"/>
    </row>
    <row r="41" spans="2:19" x14ac:dyDescent="0.2">
      <c r="C41" s="300" t="s">
        <v>171</v>
      </c>
      <c r="E41" s="300" t="s">
        <v>172</v>
      </c>
      <c r="G41" s="246"/>
      <c r="H41" s="304">
        <v>5</v>
      </c>
      <c r="I41" s="246"/>
      <c r="J41" s="309">
        <f>IF(F23&lt;5001,H40,J42)</f>
        <v>4</v>
      </c>
      <c r="K41" s="254"/>
      <c r="L41" s="309">
        <f>IF(F25&lt;501,H40,L42)</f>
        <v>4</v>
      </c>
      <c r="O41" s="294"/>
    </row>
    <row r="42" spans="2:19" x14ac:dyDescent="0.2">
      <c r="H42" s="294"/>
      <c r="I42" s="246"/>
      <c r="J42" s="309">
        <f>IF(F23&gt;=5001,H41,0)</f>
        <v>0</v>
      </c>
      <c r="K42" s="310"/>
      <c r="L42" s="309">
        <f>IF(F25&gt;=501,H41,0)</f>
        <v>0</v>
      </c>
      <c r="O42" s="294"/>
    </row>
    <row r="43" spans="2:19" x14ac:dyDescent="0.2">
      <c r="H43" s="294"/>
      <c r="I43" s="246"/>
      <c r="J43" s="294"/>
      <c r="K43" s="294"/>
      <c r="L43" s="294"/>
      <c r="M43" s="294"/>
      <c r="N43" s="294"/>
      <c r="O43" s="294"/>
    </row>
    <row r="44" spans="2:19" x14ac:dyDescent="0.2">
      <c r="B44" s="294"/>
      <c r="I44" s="294"/>
      <c r="J44" s="246"/>
      <c r="K44" s="294"/>
      <c r="L44" s="294"/>
      <c r="M44" s="294"/>
      <c r="N44" s="294"/>
      <c r="O44" s="294"/>
      <c r="P44" s="294"/>
    </row>
    <row r="45" spans="2:19" x14ac:dyDescent="0.2">
      <c r="B45" s="294"/>
      <c r="C45" s="294"/>
      <c r="D45" s="294"/>
      <c r="E45" s="294"/>
      <c r="F45" s="294"/>
      <c r="G45" s="294"/>
      <c r="H45" s="311" t="s">
        <v>79</v>
      </c>
      <c r="I45" s="294"/>
      <c r="J45" s="246"/>
      <c r="K45" s="294"/>
      <c r="L45" s="312">
        <f>IF(J37&gt;L37,J37,L37)</f>
        <v>0</v>
      </c>
      <c r="N45" s="294"/>
      <c r="O45" s="294"/>
      <c r="P45" s="294"/>
    </row>
    <row r="46" spans="2:19" x14ac:dyDescent="0.2">
      <c r="B46" s="313"/>
      <c r="C46" s="313"/>
      <c r="D46" s="314"/>
      <c r="E46" s="314"/>
      <c r="F46" s="314"/>
      <c r="G46" s="314"/>
      <c r="H46" s="314"/>
      <c r="I46" s="314"/>
      <c r="J46" s="314"/>
      <c r="K46" s="314"/>
      <c r="L46" s="314"/>
      <c r="M46" s="314"/>
      <c r="N46" s="315"/>
      <c r="O46" s="314"/>
      <c r="P46" s="246"/>
      <c r="Q46" s="246"/>
      <c r="R46" s="294"/>
      <c r="S46" s="294"/>
    </row>
    <row r="47" spans="2:19" x14ac:dyDescent="0.2">
      <c r="B47" s="314"/>
      <c r="C47" s="314"/>
      <c r="D47" s="314"/>
      <c r="E47" s="314"/>
      <c r="F47" s="314"/>
      <c r="G47" s="314"/>
      <c r="H47" s="314"/>
      <c r="I47" s="314"/>
      <c r="J47" s="314"/>
      <c r="K47" s="314"/>
      <c r="L47" s="314"/>
      <c r="M47" s="314"/>
      <c r="N47" s="314"/>
      <c r="O47" s="314"/>
      <c r="P47" s="246"/>
      <c r="Q47" s="246"/>
      <c r="R47" s="294"/>
      <c r="S47" s="294"/>
    </row>
    <row r="48" spans="2:19" x14ac:dyDescent="0.2">
      <c r="B48" s="293" t="s">
        <v>217</v>
      </c>
      <c r="C48" s="294"/>
      <c r="D48" s="294"/>
      <c r="E48" s="294"/>
      <c r="F48" s="294"/>
      <c r="G48" s="294"/>
      <c r="H48" s="294"/>
      <c r="I48" s="294"/>
      <c r="J48" s="246"/>
      <c r="K48" s="294"/>
      <c r="L48" s="246"/>
      <c r="M48" s="294"/>
      <c r="N48" s="294"/>
      <c r="O48" s="294"/>
      <c r="P48" s="294"/>
      <c r="Q48" s="294"/>
    </row>
    <row r="49" spans="3:17" x14ac:dyDescent="0.2">
      <c r="C49" s="294"/>
      <c r="D49" s="294"/>
      <c r="E49" s="294"/>
      <c r="F49" s="294"/>
      <c r="G49" s="294"/>
      <c r="H49" s="294"/>
      <c r="I49" s="294"/>
      <c r="J49" s="246"/>
      <c r="K49" s="294"/>
      <c r="L49" s="246"/>
      <c r="M49" s="294"/>
      <c r="N49" s="294"/>
      <c r="O49" s="294"/>
      <c r="P49" s="294"/>
      <c r="Q49" s="294"/>
    </row>
    <row r="50" spans="3:17" x14ac:dyDescent="0.2">
      <c r="C50" s="294"/>
      <c r="D50" s="294"/>
      <c r="E50" s="294"/>
      <c r="F50" s="294"/>
      <c r="G50" s="294"/>
      <c r="H50" s="294"/>
      <c r="I50" s="294"/>
      <c r="J50" s="246"/>
      <c r="K50" s="294"/>
      <c r="L50" s="246"/>
      <c r="M50" s="294"/>
      <c r="N50" s="294"/>
      <c r="O50" s="294"/>
      <c r="P50" s="294"/>
      <c r="Q50" s="294"/>
    </row>
    <row r="51" spans="3:17" x14ac:dyDescent="0.2">
      <c r="C51" s="294"/>
      <c r="D51" s="294" t="s">
        <v>173</v>
      </c>
      <c r="E51" s="294"/>
      <c r="F51" s="294"/>
      <c r="G51" s="294"/>
      <c r="H51" s="294"/>
      <c r="I51" s="294"/>
      <c r="J51" s="246"/>
      <c r="K51" s="294"/>
      <c r="L51" s="246"/>
      <c r="M51" s="294"/>
      <c r="N51" s="294"/>
      <c r="O51" s="294"/>
      <c r="P51" s="294"/>
      <c r="Q51" s="294"/>
    </row>
    <row r="52" spans="3:17" x14ac:dyDescent="0.2">
      <c r="C52" s="294"/>
      <c r="D52" s="294"/>
      <c r="E52" s="294"/>
      <c r="F52" s="294"/>
      <c r="G52" s="294" t="s">
        <v>174</v>
      </c>
      <c r="H52" s="294"/>
      <c r="I52" s="294"/>
      <c r="J52" s="246"/>
      <c r="K52" s="294"/>
      <c r="L52" s="246"/>
      <c r="M52" s="294"/>
      <c r="N52" s="294"/>
      <c r="O52" s="294"/>
      <c r="P52" s="294"/>
      <c r="Q52" s="294"/>
    </row>
    <row r="53" spans="3:17" x14ac:dyDescent="0.2">
      <c r="C53" s="294"/>
      <c r="D53" s="294"/>
      <c r="E53" s="294"/>
      <c r="F53" s="294"/>
      <c r="G53" s="294" t="s">
        <v>175</v>
      </c>
      <c r="H53" s="294"/>
      <c r="I53" s="246"/>
      <c r="J53" s="294"/>
      <c r="K53" s="246"/>
      <c r="L53" s="294"/>
      <c r="M53" s="294"/>
      <c r="O53" s="294"/>
      <c r="P53" s="294"/>
      <c r="Q53" s="294"/>
    </row>
    <row r="54" spans="3:17" x14ac:dyDescent="0.2">
      <c r="C54" s="294"/>
      <c r="D54" s="316"/>
      <c r="E54" s="261" t="s">
        <v>176</v>
      </c>
      <c r="F54" s="294" t="s">
        <v>2</v>
      </c>
      <c r="G54" s="317" t="s">
        <v>177</v>
      </c>
      <c r="H54" s="294"/>
      <c r="I54" s="317" t="s">
        <v>178</v>
      </c>
      <c r="K54" s="317" t="s">
        <v>179</v>
      </c>
      <c r="L54" s="294"/>
      <c r="O54" s="294"/>
      <c r="P54" s="294"/>
      <c r="Q54" s="294"/>
    </row>
    <row r="55" spans="3:17" x14ac:dyDescent="0.2">
      <c r="C55" s="294" t="s">
        <v>2</v>
      </c>
      <c r="D55" s="294"/>
      <c r="E55" s="294"/>
      <c r="F55" s="294"/>
      <c r="G55" s="294"/>
      <c r="H55" s="294"/>
      <c r="I55" s="246"/>
      <c r="J55" s="294"/>
      <c r="K55" s="246"/>
      <c r="L55" s="294"/>
      <c r="M55" s="294"/>
      <c r="O55" s="294"/>
      <c r="P55" s="294"/>
      <c r="Q55" s="294"/>
    </row>
    <row r="56" spans="3:17" x14ac:dyDescent="0.2">
      <c r="C56" s="294"/>
      <c r="D56" s="294"/>
      <c r="E56" s="246"/>
      <c r="F56" s="246"/>
      <c r="G56" s="246"/>
      <c r="H56" s="246"/>
      <c r="I56" s="246"/>
      <c r="J56" s="246"/>
      <c r="K56" s="246"/>
      <c r="L56" s="294"/>
      <c r="M56" s="294"/>
      <c r="O56" s="294"/>
      <c r="P56" s="294"/>
      <c r="Q56" s="294"/>
    </row>
    <row r="57" spans="3:17" x14ac:dyDescent="0.2">
      <c r="E57" s="257" t="s">
        <v>215</v>
      </c>
      <c r="F57" s="246"/>
      <c r="G57" s="318">
        <f>K10</f>
        <v>0</v>
      </c>
      <c r="H57" s="246"/>
      <c r="I57" s="318">
        <f>K11</f>
        <v>0</v>
      </c>
      <c r="J57" s="246"/>
      <c r="K57" s="318">
        <f>K12</f>
        <v>0</v>
      </c>
      <c r="L57" s="294"/>
      <c r="M57" s="294"/>
      <c r="O57" s="294"/>
      <c r="P57" s="294"/>
      <c r="Q57" s="294"/>
    </row>
    <row r="58" spans="3:17" x14ac:dyDescent="0.2">
      <c r="D58" s="294"/>
      <c r="E58" s="258" t="s">
        <v>216</v>
      </c>
      <c r="F58" s="246"/>
      <c r="G58" s="319" t="s">
        <v>180</v>
      </c>
      <c r="H58" s="246"/>
      <c r="I58" s="320" t="s">
        <v>181</v>
      </c>
      <c r="J58" s="246"/>
      <c r="K58" s="319" t="s">
        <v>181</v>
      </c>
      <c r="O58" s="294"/>
      <c r="P58" s="294"/>
      <c r="Q58" s="294"/>
    </row>
    <row r="59" spans="3:17" x14ac:dyDescent="0.2">
      <c r="D59" s="294"/>
      <c r="E59" s="294"/>
      <c r="F59" s="246"/>
      <c r="G59" s="246"/>
      <c r="H59" s="246"/>
      <c r="I59" s="246"/>
      <c r="J59" s="246"/>
      <c r="K59" s="246"/>
      <c r="L59" s="294"/>
      <c r="M59" s="294"/>
      <c r="O59" s="294"/>
      <c r="P59" s="294"/>
      <c r="Q59" s="294"/>
    </row>
    <row r="60" spans="3:17" x14ac:dyDescent="0.2">
      <c r="E60" s="294" t="s">
        <v>182</v>
      </c>
      <c r="F60" s="246"/>
      <c r="G60" s="321" t="str">
        <f>IF(G57=0,"",G57*1)</f>
        <v/>
      </c>
      <c r="H60" s="246" t="s">
        <v>8</v>
      </c>
      <c r="I60" s="321" t="str">
        <f>IF(I57=0,"",I57*5)</f>
        <v/>
      </c>
      <c r="J60" s="246" t="s">
        <v>8</v>
      </c>
      <c r="K60" s="321" t="str">
        <f>IF(K57=0,"",K57*5)</f>
        <v/>
      </c>
      <c r="L60" s="322" t="s">
        <v>7</v>
      </c>
      <c r="M60" s="246">
        <f>SUM(G60,I60,K60)</f>
        <v>0</v>
      </c>
      <c r="O60" s="294"/>
      <c r="P60" s="294"/>
      <c r="Q60" s="294"/>
    </row>
    <row r="61" spans="3:17" x14ac:dyDescent="0.2">
      <c r="C61" s="294"/>
      <c r="D61" s="294"/>
      <c r="E61" s="294"/>
      <c r="F61" s="294"/>
      <c r="G61" s="294"/>
      <c r="H61" s="294"/>
      <c r="I61" s="294"/>
      <c r="J61" s="246"/>
      <c r="K61" s="294"/>
      <c r="L61" s="246"/>
      <c r="M61" s="294"/>
      <c r="N61" s="294"/>
      <c r="O61" s="294"/>
      <c r="P61" s="294"/>
      <c r="Q61" s="294"/>
    </row>
    <row r="62" spans="3:17" x14ac:dyDescent="0.2">
      <c r="C62" s="294"/>
      <c r="D62" s="294"/>
      <c r="E62" s="294"/>
      <c r="F62" s="294"/>
      <c r="G62" s="294"/>
      <c r="H62" s="294"/>
      <c r="I62" s="294"/>
      <c r="J62" s="246"/>
      <c r="K62" s="294"/>
      <c r="L62" s="246"/>
      <c r="M62" s="294"/>
      <c r="N62" s="294"/>
      <c r="O62" s="294"/>
      <c r="P62" s="294"/>
      <c r="Q62" s="294"/>
    </row>
    <row r="63" spans="3:17" x14ac:dyDescent="0.2">
      <c r="C63" s="294"/>
      <c r="D63" s="294"/>
      <c r="E63" s="294"/>
      <c r="F63" s="294"/>
      <c r="G63" s="294"/>
      <c r="H63" s="294"/>
      <c r="I63" s="294"/>
      <c r="J63" s="246"/>
      <c r="K63" s="294"/>
      <c r="L63" s="246"/>
      <c r="M63" s="294"/>
      <c r="N63" s="294"/>
      <c r="O63" s="294"/>
      <c r="P63" s="294"/>
      <c r="Q63" s="294"/>
    </row>
    <row r="64" spans="3:17" x14ac:dyDescent="0.2">
      <c r="C64" s="294"/>
      <c r="E64" s="294"/>
      <c r="F64" s="294"/>
      <c r="G64" s="294"/>
      <c r="H64" s="294"/>
      <c r="I64" s="294"/>
      <c r="O64" s="294"/>
      <c r="P64" s="294"/>
      <c r="Q64" s="294"/>
    </row>
    <row r="65" spans="3:17" x14ac:dyDescent="0.2">
      <c r="C65" s="294"/>
      <c r="D65" s="294"/>
      <c r="E65" s="294"/>
      <c r="F65" s="294"/>
      <c r="G65" s="323"/>
      <c r="H65" s="294"/>
      <c r="I65" s="246"/>
      <c r="J65" s="324" t="s">
        <v>183</v>
      </c>
      <c r="L65" s="321">
        <f>IF(SUM(G60,I60,K60)&gt;25,25,SUM(G60,I60,K60))</f>
        <v>0</v>
      </c>
      <c r="P65" s="294"/>
      <c r="Q65" s="294"/>
    </row>
    <row r="66" spans="3:17" x14ac:dyDescent="0.2">
      <c r="C66" s="294" t="s">
        <v>2</v>
      </c>
      <c r="D66" s="294"/>
      <c r="E66" s="294"/>
      <c r="F66" s="294"/>
      <c r="G66" s="246"/>
      <c r="H66" s="325" t="s">
        <v>184</v>
      </c>
      <c r="I66" s="246"/>
      <c r="J66" s="294"/>
      <c r="K66" s="294"/>
      <c r="L66" s="294"/>
      <c r="P66" s="294"/>
      <c r="Q66" s="294"/>
    </row>
  </sheetData>
  <sheetProtection password="EC65" sheet="1" selectLockedCells="1"/>
  <mergeCells count="3">
    <mergeCell ref="I8:J8"/>
    <mergeCell ref="J32:L32"/>
    <mergeCell ref="I6:K7"/>
  </mergeCells>
  <conditionalFormatting sqref="B22">
    <cfRule type="expression" dxfId="45" priority="1" stopIfTrue="1">
      <formula>ISERROR($L$7)</formula>
    </cfRule>
  </conditionalFormatting>
  <pageMargins left="0.25" right="0.25"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39"/>
  <sheetViews>
    <sheetView showGridLines="0" workbookViewId="0">
      <selection activeCell="H18" sqref="H18:I18"/>
    </sheetView>
  </sheetViews>
  <sheetFormatPr defaultRowHeight="12.75" x14ac:dyDescent="0.2"/>
  <cols>
    <col min="1" max="1" width="2.42578125" style="358" customWidth="1"/>
    <col min="2" max="15" width="6.28515625" style="358" customWidth="1"/>
    <col min="16" max="16" width="6.140625" style="358" customWidth="1"/>
    <col min="17" max="32" width="6.7109375" style="358" customWidth="1"/>
    <col min="33" max="16384" width="9.140625" style="358"/>
  </cols>
  <sheetData>
    <row r="1" spans="1:59" ht="13.5" thickBot="1" x14ac:dyDescent="0.25"/>
    <row r="2" spans="1:59" ht="15.75" customHeight="1" x14ac:dyDescent="0.2">
      <c r="B2" s="357" t="s">
        <v>149</v>
      </c>
      <c r="C2" s="359"/>
      <c r="D2" s="359"/>
      <c r="E2" s="359"/>
      <c r="F2" s="359"/>
      <c r="G2" s="359"/>
      <c r="H2" s="359"/>
      <c r="I2" s="359"/>
      <c r="J2" s="359"/>
      <c r="K2" s="359"/>
      <c r="L2" s="360"/>
      <c r="M2" s="361"/>
      <c r="N2" s="361"/>
      <c r="O2" s="362"/>
      <c r="Q2" s="418"/>
      <c r="R2" s="419"/>
      <c r="S2" s="419"/>
      <c r="T2" s="419"/>
      <c r="U2" s="419"/>
      <c r="V2" s="419"/>
      <c r="W2" s="419"/>
      <c r="X2" s="419"/>
      <c r="Y2" s="419"/>
      <c r="Z2" s="419"/>
      <c r="AA2" s="419"/>
      <c r="AB2" s="419"/>
      <c r="AC2" s="420"/>
    </row>
    <row r="3" spans="1:59" ht="15.75" customHeight="1" x14ac:dyDescent="0.2">
      <c r="B3" s="363"/>
      <c r="C3" s="364"/>
      <c r="D3" s="364"/>
      <c r="E3" s="364"/>
      <c r="F3" s="364"/>
      <c r="G3" s="364"/>
      <c r="H3" s="364"/>
      <c r="I3" s="364"/>
      <c r="J3" s="364"/>
      <c r="K3" s="364"/>
      <c r="L3" s="365"/>
      <c r="M3" s="365"/>
      <c r="N3" s="365"/>
      <c r="O3" s="366"/>
      <c r="Q3" s="421"/>
      <c r="R3" s="412"/>
      <c r="S3" s="412"/>
      <c r="T3" s="412"/>
      <c r="U3" s="412"/>
      <c r="V3" s="412"/>
      <c r="W3" s="412"/>
      <c r="X3" s="412"/>
      <c r="Y3" s="412"/>
      <c r="Z3" s="412"/>
      <c r="AA3" s="412"/>
      <c r="AB3" s="412"/>
      <c r="AC3" s="422"/>
    </row>
    <row r="4" spans="1:59" x14ac:dyDescent="0.2">
      <c r="B4" s="363"/>
      <c r="C4" s="365"/>
      <c r="D4" s="365"/>
      <c r="E4" s="365"/>
      <c r="F4" s="365"/>
      <c r="G4" s="228"/>
      <c r="H4" s="365"/>
      <c r="I4" s="365"/>
      <c r="J4" s="367"/>
      <c r="K4" s="367"/>
      <c r="L4" s="365"/>
      <c r="M4" s="365"/>
      <c r="N4" s="365"/>
      <c r="O4" s="366"/>
      <c r="Q4" s="423" t="s">
        <v>196</v>
      </c>
      <c r="R4" s="424"/>
      <c r="S4" s="424"/>
      <c r="T4" s="424"/>
      <c r="U4" s="424"/>
      <c r="V4" s="394"/>
      <c r="W4" s="412"/>
      <c r="X4" s="394"/>
      <c r="Y4" s="394"/>
      <c r="Z4" s="394"/>
      <c r="AA4" s="394"/>
      <c r="AB4" s="394"/>
      <c r="AC4" s="425"/>
    </row>
    <row r="5" spans="1:59" x14ac:dyDescent="0.2">
      <c r="B5" s="368" t="s">
        <v>85</v>
      </c>
      <c r="C5" s="365"/>
      <c r="D5" s="369"/>
      <c r="E5" s="369"/>
      <c r="F5" s="369"/>
      <c r="G5" s="369"/>
      <c r="H5" s="370"/>
      <c r="I5" s="371"/>
      <c r="J5" s="365"/>
      <c r="K5" s="367"/>
      <c r="L5" s="365"/>
      <c r="M5" s="365"/>
      <c r="N5" s="365"/>
      <c r="O5" s="366"/>
      <c r="Q5" s="423"/>
      <c r="R5" s="424"/>
      <c r="S5" s="424"/>
      <c r="T5" s="424"/>
      <c r="U5" s="424"/>
      <c r="V5" s="394"/>
      <c r="W5" s="412"/>
      <c r="X5" s="394"/>
      <c r="Y5" s="394"/>
      <c r="Z5" s="394"/>
      <c r="AA5" s="394"/>
      <c r="AB5" s="394"/>
      <c r="AC5" s="425"/>
    </row>
    <row r="6" spans="1:59" x14ac:dyDescent="0.2">
      <c r="B6" s="372"/>
      <c r="C6" s="367"/>
      <c r="D6" s="367"/>
      <c r="E6" s="367"/>
      <c r="F6" s="367"/>
      <c r="G6" s="367"/>
      <c r="H6" s="367"/>
      <c r="I6" s="373"/>
      <c r="J6" s="374"/>
      <c r="K6" s="367"/>
      <c r="L6" s="365"/>
      <c r="M6" s="365"/>
      <c r="N6" s="365"/>
      <c r="O6" s="366"/>
      <c r="Q6" s="423"/>
      <c r="R6" s="424"/>
      <c r="S6" s="424"/>
      <c r="T6" s="424"/>
      <c r="U6" s="424"/>
      <c r="V6" s="394"/>
      <c r="W6" s="412"/>
      <c r="X6" s="394"/>
      <c r="Y6" s="394"/>
      <c r="Z6" s="394"/>
      <c r="AA6" s="394"/>
      <c r="AB6" s="394"/>
      <c r="AC6" s="425"/>
    </row>
    <row r="7" spans="1:59" ht="12.75" customHeight="1" x14ac:dyDescent="0.2">
      <c r="B7" s="372"/>
      <c r="C7" s="367"/>
      <c r="D7" s="375" t="s">
        <v>84</v>
      </c>
      <c r="E7" s="376"/>
      <c r="F7" s="377" t="s">
        <v>260</v>
      </c>
      <c r="G7" s="367"/>
      <c r="H7" s="367"/>
      <c r="I7" s="373"/>
      <c r="J7" s="378"/>
      <c r="K7" s="367"/>
      <c r="L7" s="365"/>
      <c r="M7" s="365"/>
      <c r="N7" s="365"/>
      <c r="O7" s="366"/>
      <c r="Q7" s="426" t="s">
        <v>6</v>
      </c>
      <c r="R7" s="394"/>
      <c r="S7" s="394"/>
      <c r="T7" s="394"/>
      <c r="U7" s="394"/>
      <c r="V7" s="412"/>
      <c r="W7" s="394"/>
      <c r="X7" s="394"/>
      <c r="Y7" s="328"/>
      <c r="Z7" s="394"/>
      <c r="AA7" s="394"/>
      <c r="AB7" s="394"/>
      <c r="AC7" s="425"/>
    </row>
    <row r="8" spans="1:59" x14ac:dyDescent="0.2">
      <c r="B8" s="379"/>
      <c r="C8" s="365"/>
      <c r="D8" s="374"/>
      <c r="E8" s="374"/>
      <c r="F8" s="367"/>
      <c r="G8" s="228"/>
      <c r="H8" s="374"/>
      <c r="I8" s="380"/>
      <c r="J8" s="378"/>
      <c r="K8" s="367"/>
      <c r="L8" s="365"/>
      <c r="M8" s="365"/>
      <c r="N8" s="365"/>
      <c r="O8" s="366"/>
      <c r="Q8" s="426"/>
      <c r="R8" s="394"/>
      <c r="S8" s="394"/>
      <c r="T8" s="394"/>
      <c r="U8" s="394"/>
      <c r="V8" s="394"/>
      <c r="W8" s="394"/>
      <c r="X8" s="394"/>
      <c r="Y8" s="328"/>
      <c r="Z8" s="394"/>
      <c r="AA8" s="394"/>
      <c r="AB8" s="394"/>
      <c r="AC8" s="425"/>
    </row>
    <row r="9" spans="1:59" x14ac:dyDescent="0.2">
      <c r="B9" s="381"/>
      <c r="C9" s="367"/>
      <c r="D9" s="365"/>
      <c r="E9" s="365"/>
      <c r="F9" s="228"/>
      <c r="G9" s="375"/>
      <c r="H9" s="228"/>
      <c r="I9" s="228"/>
      <c r="J9" s="228"/>
      <c r="K9" s="382"/>
      <c r="L9" s="365"/>
      <c r="M9" s="365"/>
      <c r="N9" s="365"/>
      <c r="O9" s="366"/>
      <c r="Q9" s="427">
        <v>0</v>
      </c>
      <c r="R9" s="411" t="s">
        <v>9</v>
      </c>
      <c r="S9" s="411"/>
      <c r="T9" s="412" t="s">
        <v>190</v>
      </c>
      <c r="U9" s="394"/>
      <c r="V9" s="394"/>
      <c r="W9" s="394"/>
      <c r="X9" s="412"/>
      <c r="Y9" s="412"/>
      <c r="Z9" s="394"/>
      <c r="AA9" s="328"/>
      <c r="AB9" s="328"/>
      <c r="AC9" s="425"/>
    </row>
    <row r="10" spans="1:59" s="277" customFormat="1" ht="12.95" customHeight="1" x14ac:dyDescent="0.2">
      <c r="A10" s="383"/>
      <c r="B10" s="384"/>
      <c r="C10" s="385"/>
      <c r="D10" s="385"/>
      <c r="E10" s="385"/>
      <c r="F10" s="385"/>
      <c r="G10" s="385"/>
      <c r="H10" s="385"/>
      <c r="I10" s="385"/>
      <c r="J10" s="367"/>
      <c r="K10" s="367"/>
      <c r="L10" s="367"/>
      <c r="M10" s="367"/>
      <c r="N10" s="367"/>
      <c r="O10" s="386"/>
      <c r="Q10" s="427"/>
      <c r="R10" s="411"/>
      <c r="S10" s="411"/>
      <c r="T10" s="412"/>
      <c r="U10" s="394"/>
      <c r="V10" s="394"/>
      <c r="W10" s="394"/>
      <c r="X10" s="412"/>
      <c r="Y10" s="412"/>
      <c r="Z10" s="413"/>
      <c r="AA10" s="328"/>
      <c r="AB10" s="414"/>
      <c r="AC10" s="425"/>
    </row>
    <row r="11" spans="1:59" s="277" customFormat="1" ht="12.95" customHeight="1" x14ac:dyDescent="0.2">
      <c r="A11" s="383"/>
      <c r="B11" s="387" t="s">
        <v>195</v>
      </c>
      <c r="C11" s="367"/>
      <c r="D11" s="385"/>
      <c r="E11" s="367"/>
      <c r="F11" s="385"/>
      <c r="G11" s="385"/>
      <c r="H11" s="385"/>
      <c r="I11" s="388" t="s">
        <v>244</v>
      </c>
      <c r="J11" s="367"/>
      <c r="K11" s="228"/>
      <c r="L11" s="367"/>
      <c r="M11" s="367"/>
      <c r="N11" s="367"/>
      <c r="O11" s="386"/>
      <c r="Q11" s="427">
        <v>10</v>
      </c>
      <c r="R11" s="411" t="s">
        <v>10</v>
      </c>
      <c r="S11" s="411"/>
      <c r="T11" s="412" t="s">
        <v>191</v>
      </c>
      <c r="U11" s="394"/>
      <c r="V11" s="394"/>
      <c r="W11" s="394"/>
      <c r="X11" s="412"/>
      <c r="Y11" s="412"/>
      <c r="Z11" s="394"/>
      <c r="AA11" s="328"/>
      <c r="AB11" s="394"/>
      <c r="AC11" s="425"/>
    </row>
    <row r="12" spans="1:59" s="262" customFormat="1" ht="12.95" customHeight="1" x14ac:dyDescent="0.2">
      <c r="A12" s="383"/>
      <c r="B12" s="389"/>
      <c r="C12" s="367"/>
      <c r="D12" s="367"/>
      <c r="E12" s="367"/>
      <c r="F12" s="367"/>
      <c r="G12" s="367"/>
      <c r="H12" s="367"/>
      <c r="I12" s="367"/>
      <c r="J12" s="367"/>
      <c r="K12" s="390" t="s">
        <v>243</v>
      </c>
      <c r="L12" s="367"/>
      <c r="M12" s="367"/>
      <c r="N12" s="367"/>
      <c r="O12" s="386"/>
      <c r="P12" s="277"/>
      <c r="Q12" s="427"/>
      <c r="R12" s="411"/>
      <c r="S12" s="411"/>
      <c r="T12" s="412"/>
      <c r="U12" s="415"/>
      <c r="V12" s="412"/>
      <c r="W12" s="328"/>
      <c r="X12" s="412"/>
      <c r="Y12" s="328"/>
      <c r="Z12" s="328"/>
      <c r="AA12" s="412"/>
      <c r="AB12" s="394"/>
      <c r="AC12" s="425"/>
    </row>
    <row r="13" spans="1:59" s="262" customFormat="1" ht="12.95" customHeight="1" x14ac:dyDescent="0.2">
      <c r="A13" s="383"/>
      <c r="B13" s="391"/>
      <c r="C13" s="385" t="s">
        <v>247</v>
      </c>
      <c r="D13" s="228"/>
      <c r="E13" s="228"/>
      <c r="F13" s="228"/>
      <c r="G13" s="228"/>
      <c r="H13" s="392"/>
      <c r="I13" s="228"/>
      <c r="J13" s="228"/>
      <c r="K13" s="228"/>
      <c r="L13" s="228"/>
      <c r="M13" s="228"/>
      <c r="N13" s="228"/>
      <c r="O13" s="393"/>
      <c r="P13" s="277"/>
      <c r="Q13" s="427">
        <v>20</v>
      </c>
      <c r="R13" s="411" t="s">
        <v>11</v>
      </c>
      <c r="S13" s="411"/>
      <c r="T13" s="412" t="s">
        <v>241</v>
      </c>
      <c r="U13" s="394"/>
      <c r="V13" s="412"/>
      <c r="W13" s="328"/>
      <c r="X13" s="412"/>
      <c r="Y13" s="328"/>
      <c r="Z13" s="328"/>
      <c r="AA13" s="412"/>
      <c r="AB13" s="394"/>
      <c r="AC13" s="425"/>
      <c r="AD13" s="279"/>
      <c r="AE13" s="279"/>
      <c r="AF13" s="279"/>
      <c r="AQ13" s="279"/>
      <c r="AR13" s="279"/>
      <c r="AS13" s="279"/>
      <c r="AT13" s="279"/>
      <c r="AU13" s="279"/>
      <c r="AV13" s="279"/>
      <c r="AW13" s="279"/>
      <c r="AX13" s="279"/>
      <c r="AY13" s="279"/>
      <c r="AZ13" s="279"/>
      <c r="BA13" s="279"/>
      <c r="BB13" s="279"/>
      <c r="BC13" s="279"/>
      <c r="BD13" s="279"/>
      <c r="BE13" s="279"/>
      <c r="BF13" s="279"/>
      <c r="BG13" s="279"/>
    </row>
    <row r="14" spans="1:59" s="262" customFormat="1" ht="12.95" customHeight="1" x14ac:dyDescent="0.2">
      <c r="A14" s="383"/>
      <c r="B14" s="391"/>
      <c r="C14" s="385"/>
      <c r="D14" s="228"/>
      <c r="E14" s="228"/>
      <c r="F14" s="228"/>
      <c r="G14" s="228"/>
      <c r="H14" s="392"/>
      <c r="I14" s="228"/>
      <c r="J14" s="228"/>
      <c r="K14" s="495" t="s">
        <v>219</v>
      </c>
      <c r="L14" s="495"/>
      <c r="M14" s="489" t="s">
        <v>245</v>
      </c>
      <c r="N14" s="489"/>
      <c r="O14" s="436"/>
      <c r="P14" s="277"/>
      <c r="Q14" s="427"/>
      <c r="R14" s="411"/>
      <c r="S14" s="411"/>
      <c r="T14" s="412"/>
      <c r="U14" s="394" t="s">
        <v>242</v>
      </c>
      <c r="V14" s="412"/>
      <c r="W14" s="328"/>
      <c r="X14" s="412"/>
      <c r="Y14" s="328"/>
      <c r="Z14" s="328"/>
      <c r="AA14" s="412"/>
      <c r="AB14" s="394"/>
      <c r="AC14" s="425"/>
      <c r="AD14" s="279"/>
      <c r="AE14" s="284"/>
      <c r="AF14" s="284"/>
      <c r="AQ14" s="284"/>
      <c r="AR14" s="284"/>
      <c r="AS14" s="284"/>
      <c r="AT14" s="284"/>
      <c r="AU14" s="284"/>
      <c r="AV14" s="284"/>
      <c r="AW14" s="279"/>
      <c r="AX14" s="279"/>
      <c r="AY14" s="279"/>
      <c r="AZ14" s="279"/>
      <c r="BA14" s="279"/>
      <c r="BB14" s="279"/>
      <c r="BC14" s="279"/>
      <c r="BD14" s="279"/>
      <c r="BE14" s="279"/>
      <c r="BF14" s="279"/>
      <c r="BG14" s="279"/>
    </row>
    <row r="15" spans="1:59" s="262" customFormat="1" ht="12.95" customHeight="1" thickBot="1" x14ac:dyDescent="0.25">
      <c r="A15" s="383"/>
      <c r="B15" s="391"/>
      <c r="C15" s="367" t="s">
        <v>218</v>
      </c>
      <c r="D15" s="394"/>
      <c r="E15" s="228"/>
      <c r="F15" s="228"/>
      <c r="G15" s="228"/>
      <c r="H15" s="392"/>
      <c r="I15" s="228"/>
      <c r="J15" s="228"/>
      <c r="K15" s="495"/>
      <c r="L15" s="495"/>
      <c r="M15" s="490"/>
      <c r="N15" s="490"/>
      <c r="O15" s="436"/>
      <c r="P15" s="277"/>
      <c r="Q15" s="427">
        <v>30</v>
      </c>
      <c r="R15" s="411" t="s">
        <v>12</v>
      </c>
      <c r="S15" s="411"/>
      <c r="T15" s="412" t="s">
        <v>192</v>
      </c>
      <c r="U15" s="328"/>
      <c r="V15" s="412"/>
      <c r="W15" s="328"/>
      <c r="X15" s="412"/>
      <c r="Y15" s="328"/>
      <c r="Z15" s="328"/>
      <c r="AA15" s="412"/>
      <c r="AB15" s="394"/>
      <c r="AC15" s="425"/>
      <c r="AD15" s="284"/>
      <c r="AE15" s="284"/>
      <c r="AF15" s="284"/>
      <c r="AQ15" s="284"/>
      <c r="AR15" s="284"/>
      <c r="AS15" s="284"/>
      <c r="AT15" s="284"/>
      <c r="AU15" s="284"/>
      <c r="AV15" s="284"/>
      <c r="AW15" s="279"/>
      <c r="AX15" s="279"/>
      <c r="AY15" s="279"/>
      <c r="AZ15" s="279"/>
      <c r="BA15" s="279"/>
      <c r="BB15" s="279"/>
      <c r="BC15" s="279"/>
      <c r="BD15" s="279"/>
      <c r="BE15" s="279"/>
      <c r="BF15" s="279"/>
      <c r="BG15" s="279"/>
    </row>
    <row r="16" spans="1:59" s="262" customFormat="1" ht="12.95" customHeight="1" thickBot="1" x14ac:dyDescent="0.25">
      <c r="A16" s="383"/>
      <c r="B16" s="391"/>
      <c r="C16" s="367"/>
      <c r="D16" s="394"/>
      <c r="E16" s="228"/>
      <c r="F16" s="228"/>
      <c r="G16" s="228"/>
      <c r="H16" s="392"/>
      <c r="I16" s="228"/>
      <c r="J16" s="396"/>
      <c r="K16" s="487" t="e">
        <f>H27</f>
        <v>#DIV/0!</v>
      </c>
      <c r="L16" s="488"/>
      <c r="M16" s="487" t="e">
        <f>F33</f>
        <v>#DIV/0!</v>
      </c>
      <c r="N16" s="488"/>
      <c r="O16" s="393"/>
      <c r="P16" s="277"/>
      <c r="Q16" s="427"/>
      <c r="R16" s="411"/>
      <c r="S16" s="411"/>
      <c r="T16" s="412"/>
      <c r="U16" s="328"/>
      <c r="V16" s="412"/>
      <c r="W16" s="328"/>
      <c r="X16" s="412"/>
      <c r="Y16" s="328"/>
      <c r="Z16" s="328"/>
      <c r="AA16" s="412"/>
      <c r="AB16" s="394"/>
      <c r="AC16" s="425"/>
      <c r="AD16" s="284"/>
      <c r="AE16" s="284"/>
      <c r="AF16" s="284"/>
      <c r="AQ16" s="284"/>
      <c r="AR16" s="284"/>
      <c r="AS16" s="284"/>
      <c r="AT16" s="284"/>
      <c r="AU16" s="284"/>
      <c r="AV16" s="284"/>
      <c r="AW16" s="279"/>
      <c r="AX16" s="279"/>
      <c r="AY16" s="279"/>
      <c r="AZ16" s="279"/>
      <c r="BA16" s="279"/>
      <c r="BB16" s="279"/>
      <c r="BC16" s="279"/>
      <c r="BD16" s="279"/>
      <c r="BE16" s="279"/>
      <c r="BF16" s="279"/>
      <c r="BG16" s="279"/>
    </row>
    <row r="17" spans="1:59" s="262" customFormat="1" ht="12.95" customHeight="1" x14ac:dyDescent="0.2">
      <c r="A17" s="383"/>
      <c r="B17" s="391"/>
      <c r="C17" s="388"/>
      <c r="D17" s="496" t="s">
        <v>220</v>
      </c>
      <c r="E17" s="496"/>
      <c r="F17" s="228"/>
      <c r="G17" s="228"/>
      <c r="H17" s="496" t="s">
        <v>221</v>
      </c>
      <c r="I17" s="496"/>
      <c r="J17" s="228"/>
      <c r="K17" s="486" t="s">
        <v>261</v>
      </c>
      <c r="L17" s="486"/>
      <c r="M17" s="486"/>
      <c r="N17" s="486"/>
      <c r="O17" s="393"/>
      <c r="P17" s="277"/>
      <c r="Q17" s="427">
        <v>40</v>
      </c>
      <c r="R17" s="411" t="s">
        <v>13</v>
      </c>
      <c r="S17" s="411"/>
      <c r="T17" s="412" t="s">
        <v>193</v>
      </c>
      <c r="U17" s="328"/>
      <c r="V17" s="412"/>
      <c r="W17" s="328"/>
      <c r="X17" s="412"/>
      <c r="Y17" s="328"/>
      <c r="Z17" s="328"/>
      <c r="AA17" s="412"/>
      <c r="AB17" s="394"/>
      <c r="AC17" s="425"/>
      <c r="AD17" s="284"/>
      <c r="AE17" s="284"/>
      <c r="AF17" s="284"/>
      <c r="AQ17" s="284"/>
      <c r="AR17" s="284"/>
      <c r="AS17" s="284"/>
      <c r="AT17" s="284"/>
      <c r="AU17" s="284"/>
      <c r="AV17" s="284"/>
      <c r="AW17" s="279"/>
      <c r="AX17" s="279"/>
      <c r="AY17" s="279"/>
      <c r="AZ17" s="279"/>
      <c r="BA17" s="279"/>
      <c r="BB17" s="279"/>
      <c r="BC17" s="279"/>
      <c r="BD17" s="279"/>
      <c r="BE17" s="279"/>
      <c r="BF17" s="279"/>
      <c r="BG17" s="279"/>
    </row>
    <row r="18" spans="1:59" s="262" customFormat="1" ht="12.95" customHeight="1" x14ac:dyDescent="0.25">
      <c r="A18" s="277"/>
      <c r="B18" s="391"/>
      <c r="C18" s="397" t="s">
        <v>248</v>
      </c>
      <c r="D18" s="497"/>
      <c r="E18" s="498"/>
      <c r="F18" s="503" t="s">
        <v>222</v>
      </c>
      <c r="G18" s="504"/>
      <c r="H18" s="497"/>
      <c r="I18" s="498"/>
      <c r="J18" s="228"/>
      <c r="K18" s="228"/>
      <c r="L18" s="228"/>
      <c r="M18" s="228"/>
      <c r="N18" s="228"/>
      <c r="O18" s="393"/>
      <c r="P18" s="277"/>
      <c r="Q18" s="426"/>
      <c r="R18" s="412"/>
      <c r="S18" s="413"/>
      <c r="T18" s="328"/>
      <c r="U18" s="328"/>
      <c r="V18" s="412"/>
      <c r="W18" s="328"/>
      <c r="X18" s="412"/>
      <c r="Y18" s="328"/>
      <c r="Z18" s="394"/>
      <c r="AA18" s="394"/>
      <c r="AB18" s="394" t="s">
        <v>194</v>
      </c>
      <c r="AC18" s="425"/>
      <c r="AD18" s="284"/>
      <c r="AE18" s="284"/>
      <c r="AF18" s="284"/>
      <c r="AQ18" s="284"/>
      <c r="AR18" s="284"/>
      <c r="AS18" s="284"/>
      <c r="AT18" s="284"/>
      <c r="AU18" s="284"/>
      <c r="AV18" s="284"/>
      <c r="AW18" s="279"/>
      <c r="AX18" s="279"/>
      <c r="AY18" s="279"/>
      <c r="AZ18" s="279"/>
      <c r="BA18" s="279"/>
      <c r="BB18" s="279"/>
      <c r="BC18" s="279"/>
      <c r="BD18" s="279"/>
      <c r="BE18" s="279"/>
      <c r="BF18" s="279"/>
      <c r="BG18" s="279"/>
    </row>
    <row r="19" spans="1:59" s="262" customFormat="1" ht="12.95" customHeight="1" thickBot="1" x14ac:dyDescent="0.25">
      <c r="A19" s="277"/>
      <c r="B19" s="484" t="s">
        <v>266</v>
      </c>
      <c r="C19" s="485"/>
      <c r="D19" s="499"/>
      <c r="E19" s="500"/>
      <c r="F19" s="493" t="s">
        <v>249</v>
      </c>
      <c r="G19" s="494"/>
      <c r="H19" s="501">
        <f>'2R SUMMARY'!F7</f>
        <v>0</v>
      </c>
      <c r="I19" s="502"/>
      <c r="J19" s="228" t="s">
        <v>230</v>
      </c>
      <c r="K19" s="398" t="s">
        <v>250</v>
      </c>
      <c r="L19" s="228"/>
      <c r="M19" s="228"/>
      <c r="N19" s="228"/>
      <c r="O19" s="393"/>
      <c r="P19" s="277"/>
      <c r="Q19" s="426"/>
      <c r="R19" s="412"/>
      <c r="S19" s="394"/>
      <c r="T19" s="328"/>
      <c r="U19" s="328"/>
      <c r="V19" s="412"/>
      <c r="W19" s="328"/>
      <c r="X19" s="412"/>
      <c r="Y19" s="328"/>
      <c r="Z19" s="394"/>
      <c r="AA19" s="394"/>
      <c r="AB19" s="394"/>
      <c r="AC19" s="425"/>
      <c r="AD19" s="284"/>
      <c r="AE19" s="284"/>
      <c r="AF19" s="284"/>
      <c r="AQ19" s="284"/>
      <c r="AR19" s="284"/>
      <c r="AS19" s="284"/>
      <c r="AT19" s="284"/>
      <c r="AU19" s="284"/>
      <c r="AV19" s="284"/>
      <c r="AW19" s="279"/>
      <c r="AX19" s="279"/>
      <c r="AY19" s="279"/>
      <c r="AZ19" s="279"/>
      <c r="BA19" s="279"/>
      <c r="BB19" s="279"/>
      <c r="BC19" s="279"/>
      <c r="BD19" s="279"/>
      <c r="BE19" s="279"/>
      <c r="BF19" s="279"/>
      <c r="BG19" s="279"/>
    </row>
    <row r="20" spans="1:59" s="262" customFormat="1" ht="12.95" customHeight="1" thickBot="1" x14ac:dyDescent="0.25">
      <c r="A20" s="277"/>
      <c r="B20" s="484"/>
      <c r="C20" s="485"/>
      <c r="D20" s="491">
        <f>IF(D19=0,0,IF('2R SUMMARY'!F7=0,0,D18/D19/3))</f>
        <v>0</v>
      </c>
      <c r="E20" s="492"/>
      <c r="F20" s="493"/>
      <c r="G20" s="494"/>
      <c r="H20" s="491">
        <f>IF('2R SUMMARY'!F7=0,0,H18/H19/3)</f>
        <v>0</v>
      </c>
      <c r="I20" s="492"/>
      <c r="J20" s="228"/>
      <c r="K20" s="399" t="s">
        <v>233</v>
      </c>
      <c r="L20" s="228"/>
      <c r="M20" s="228"/>
      <c r="N20" s="228"/>
      <c r="O20" s="393"/>
      <c r="P20" s="277"/>
      <c r="Q20" s="426"/>
      <c r="R20" s="416" t="s">
        <v>199</v>
      </c>
      <c r="S20" s="415"/>
      <c r="T20" s="328"/>
      <c r="U20" s="328"/>
      <c r="V20" s="412"/>
      <c r="W20" s="328"/>
      <c r="X20" s="412"/>
      <c r="Y20" s="328"/>
      <c r="Z20" s="394"/>
      <c r="AA20" s="394"/>
      <c r="AB20" s="417"/>
      <c r="AC20" s="425"/>
      <c r="AD20" s="284"/>
      <c r="AE20" s="284"/>
      <c r="AF20" s="284"/>
      <c r="AQ20" s="284"/>
      <c r="AR20" s="284"/>
      <c r="AS20" s="279"/>
      <c r="AT20" s="279"/>
      <c r="AU20" s="279"/>
      <c r="AV20" s="279"/>
      <c r="AW20" s="279"/>
      <c r="AX20" s="279"/>
      <c r="AY20" s="279"/>
      <c r="AZ20" s="279"/>
      <c r="BA20" s="279"/>
      <c r="BB20" s="279"/>
      <c r="BC20" s="279"/>
      <c r="BD20" s="279"/>
      <c r="BE20" s="279"/>
      <c r="BF20" s="279"/>
      <c r="BG20" s="279"/>
    </row>
    <row r="21" spans="1:59" s="262" customFormat="1" ht="12.95" customHeight="1" x14ac:dyDescent="0.2">
      <c r="A21" s="277"/>
      <c r="B21" s="391"/>
      <c r="C21" s="367"/>
      <c r="D21" s="375" t="s">
        <v>223</v>
      </c>
      <c r="E21" s="228"/>
      <c r="F21" s="228"/>
      <c r="G21" s="228"/>
      <c r="H21" s="228"/>
      <c r="I21" s="228"/>
      <c r="J21" s="392"/>
      <c r="K21" s="399" t="s">
        <v>246</v>
      </c>
      <c r="L21" s="228"/>
      <c r="M21" s="228"/>
      <c r="N21" s="228"/>
      <c r="O21" s="393"/>
      <c r="P21" s="277"/>
      <c r="Q21" s="421"/>
      <c r="R21" s="394"/>
      <c r="S21" s="394"/>
      <c r="T21" s="394"/>
      <c r="U21" s="412"/>
      <c r="V21" s="412"/>
      <c r="W21" s="394"/>
      <c r="X21" s="412"/>
      <c r="Y21" s="394"/>
      <c r="Z21" s="394"/>
      <c r="AA21" s="394"/>
      <c r="AB21" s="394"/>
      <c r="AC21" s="425"/>
      <c r="AD21" s="279"/>
      <c r="AE21" s="284"/>
      <c r="AF21" s="284"/>
      <c r="AQ21" s="284"/>
      <c r="AR21" s="284"/>
      <c r="AS21" s="279"/>
      <c r="AT21" s="279"/>
      <c r="AU21" s="279"/>
      <c r="AV21" s="279"/>
    </row>
    <row r="22" spans="1:59" s="262" customFormat="1" ht="12.95" customHeight="1" thickBot="1" x14ac:dyDescent="0.25">
      <c r="A22" s="277"/>
      <c r="B22" s="400"/>
      <c r="C22" s="401"/>
      <c r="D22" s="402"/>
      <c r="E22" s="402"/>
      <c r="F22" s="402"/>
      <c r="G22" s="402"/>
      <c r="H22" s="402"/>
      <c r="I22" s="402"/>
      <c r="J22" s="403"/>
      <c r="K22" s="401"/>
      <c r="L22" s="402"/>
      <c r="M22" s="402"/>
      <c r="N22" s="402"/>
      <c r="O22" s="404"/>
      <c r="P22" s="405"/>
      <c r="Q22" s="428"/>
      <c r="R22" s="429"/>
      <c r="S22" s="429"/>
      <c r="T22" s="429"/>
      <c r="U22" s="429"/>
      <c r="V22" s="429"/>
      <c r="W22" s="429"/>
      <c r="X22" s="429"/>
      <c r="Y22" s="429"/>
      <c r="Z22" s="429"/>
      <c r="AA22" s="429"/>
      <c r="AB22" s="429"/>
      <c r="AC22" s="430"/>
      <c r="AD22" s="279"/>
      <c r="AE22" s="284"/>
      <c r="AF22" s="284"/>
      <c r="AQ22" s="284"/>
      <c r="AR22" s="284"/>
      <c r="AS22" s="284"/>
      <c r="AT22" s="284"/>
      <c r="AU22" s="284"/>
      <c r="AV22" s="284"/>
      <c r="AW22" s="264"/>
    </row>
    <row r="23" spans="1:59" s="262" customFormat="1" ht="12.95" customHeight="1" x14ac:dyDescent="0.2">
      <c r="A23" s="277"/>
      <c r="B23" s="406"/>
      <c r="C23" s="407"/>
      <c r="D23" s="279"/>
      <c r="E23" s="406"/>
      <c r="F23" s="279"/>
      <c r="G23" s="406"/>
      <c r="H23" s="279"/>
      <c r="I23" s="406"/>
      <c r="J23" s="279"/>
      <c r="N23" s="277"/>
      <c r="O23" s="277"/>
      <c r="P23" s="277"/>
      <c r="Q23" s="279"/>
      <c r="R23" s="279"/>
      <c r="AC23" s="284"/>
      <c r="AD23" s="284"/>
      <c r="AE23" s="284"/>
      <c r="AP23" s="284"/>
      <c r="AQ23" s="284"/>
      <c r="AR23" s="284"/>
      <c r="AS23" s="284"/>
      <c r="AT23" s="284"/>
      <c r="AU23" s="284"/>
    </row>
    <row r="24" spans="1:59" s="262" customFormat="1" ht="12.95" customHeight="1" x14ac:dyDescent="0.2">
      <c r="A24" s="274"/>
      <c r="B24" s="406"/>
      <c r="C24" s="407"/>
      <c r="D24" s="279"/>
      <c r="E24" s="406"/>
      <c r="F24" s="279"/>
      <c r="G24" s="406"/>
      <c r="H24" s="279"/>
      <c r="I24" s="406"/>
      <c r="J24" s="279"/>
      <c r="N24" s="277"/>
      <c r="O24" s="277"/>
      <c r="P24" s="277"/>
      <c r="Q24" s="279"/>
      <c r="R24" s="279"/>
      <c r="S24" s="395"/>
      <c r="T24" s="285"/>
      <c r="AC24" s="284"/>
      <c r="AD24" s="279"/>
      <c r="AE24" s="279"/>
      <c r="AP24" s="279"/>
      <c r="AQ24" s="279"/>
      <c r="AR24" s="284"/>
      <c r="AS24" s="284"/>
      <c r="AT24" s="284"/>
      <c r="AU24" s="284"/>
      <c r="AV24" s="279"/>
    </row>
    <row r="25" spans="1:59" s="262" customFormat="1" ht="12.95" customHeight="1" x14ac:dyDescent="0.2">
      <c r="A25" s="274"/>
      <c r="B25" s="406"/>
      <c r="C25" s="407"/>
      <c r="D25" s="279"/>
      <c r="E25" s="406"/>
      <c r="F25" s="279"/>
      <c r="G25" s="406"/>
      <c r="H25" s="279"/>
      <c r="I25" s="406"/>
      <c r="J25" s="279"/>
      <c r="N25" s="277"/>
      <c r="O25" s="277"/>
      <c r="P25" s="277"/>
      <c r="R25" s="279"/>
      <c r="S25" s="279"/>
      <c r="AD25" s="279"/>
      <c r="AE25" s="279"/>
      <c r="AP25" s="279"/>
      <c r="AQ25" s="279"/>
      <c r="AR25" s="284"/>
      <c r="AS25" s="284"/>
      <c r="AT25" s="284"/>
      <c r="AU25" s="284"/>
      <c r="AV25" s="279"/>
    </row>
    <row r="26" spans="1:59" s="262" customFormat="1" ht="12.95" customHeight="1" x14ac:dyDescent="0.2">
      <c r="A26" s="277"/>
      <c r="B26" s="408"/>
      <c r="C26" s="276"/>
      <c r="D26" s="277"/>
      <c r="E26" s="274"/>
      <c r="F26" s="277"/>
      <c r="G26" s="277"/>
      <c r="H26" s="277"/>
      <c r="I26" s="277"/>
      <c r="J26" s="406"/>
      <c r="K26" s="279"/>
      <c r="O26" s="277"/>
      <c r="Q26" s="279"/>
      <c r="R26" s="279"/>
      <c r="S26" s="279"/>
      <c r="T26" s="286"/>
      <c r="W26" s="287"/>
      <c r="X26" s="472"/>
      <c r="Y26" s="472"/>
      <c r="AD26" s="284"/>
      <c r="AE26" s="280"/>
      <c r="AF26" s="280"/>
      <c r="AQ26" s="280"/>
      <c r="AR26" s="280"/>
      <c r="AS26" s="284"/>
      <c r="AT26" s="284"/>
      <c r="AU26" s="284"/>
      <c r="AV26" s="284"/>
      <c r="AW26" s="279"/>
    </row>
    <row r="27" spans="1:59" s="262" customFormat="1" ht="12.95" customHeight="1" x14ac:dyDescent="0.2">
      <c r="A27" s="277"/>
      <c r="B27" s="474" t="s">
        <v>234</v>
      </c>
      <c r="C27" s="475"/>
      <c r="D27" s="475"/>
      <c r="E27" s="478">
        <f>H20</f>
        <v>0</v>
      </c>
      <c r="F27" s="478"/>
      <c r="G27" s="477" t="s">
        <v>231</v>
      </c>
      <c r="H27" s="480" t="e">
        <f>E27/E28</f>
        <v>#DIV/0!</v>
      </c>
      <c r="I27" s="481"/>
      <c r="J27" s="406"/>
      <c r="K27" s="279"/>
      <c r="O27" s="277"/>
      <c r="P27" s="279"/>
      <c r="Q27" s="279"/>
      <c r="R27" s="279"/>
      <c r="S27" s="279"/>
      <c r="W27" s="287"/>
      <c r="X27" s="473"/>
      <c r="Y27" s="473"/>
      <c r="AD27" s="284"/>
      <c r="AE27" s="279"/>
      <c r="AF27" s="279"/>
      <c r="AQ27" s="279"/>
      <c r="AR27" s="279"/>
      <c r="AS27" s="284"/>
      <c r="AT27" s="284"/>
      <c r="AU27" s="284"/>
      <c r="AV27" s="284"/>
    </row>
    <row r="28" spans="1:59" s="262" customFormat="1" ht="12.95" customHeight="1" x14ac:dyDescent="0.2">
      <c r="A28" s="358"/>
      <c r="B28" s="475"/>
      <c r="C28" s="475"/>
      <c r="D28" s="475"/>
      <c r="E28" s="479">
        <f>D20</f>
        <v>0</v>
      </c>
      <c r="F28" s="479"/>
      <c r="G28" s="477"/>
      <c r="H28" s="482"/>
      <c r="I28" s="483"/>
      <c r="J28" s="406"/>
      <c r="K28" s="279"/>
      <c r="O28" s="277"/>
      <c r="P28" s="279"/>
      <c r="Q28" s="279"/>
      <c r="R28" s="279"/>
      <c r="S28" s="279"/>
      <c r="AD28" s="284"/>
      <c r="AE28" s="281"/>
      <c r="AF28" s="281"/>
      <c r="AQ28" s="281"/>
      <c r="AR28" s="281"/>
      <c r="AS28" s="284"/>
      <c r="AT28" s="284"/>
      <c r="AU28" s="284"/>
      <c r="AV28" s="284"/>
    </row>
    <row r="29" spans="1:59" s="262" customFormat="1" ht="12.95" customHeight="1" x14ac:dyDescent="0.2">
      <c r="A29" s="358"/>
      <c r="B29" s="277"/>
      <c r="C29" s="277"/>
      <c r="D29" s="274"/>
      <c r="E29" s="274"/>
      <c r="F29" s="274"/>
      <c r="G29" s="274"/>
      <c r="H29" s="278"/>
      <c r="I29" s="277"/>
      <c r="J29" s="406"/>
      <c r="K29" s="279"/>
      <c r="O29" s="277"/>
      <c r="P29" s="279"/>
      <c r="R29" s="279"/>
      <c r="S29" s="279"/>
      <c r="W29" s="264"/>
      <c r="X29" s="472"/>
      <c r="Y29" s="472"/>
      <c r="AD29" s="284"/>
      <c r="AE29" s="279"/>
      <c r="AF29" s="279"/>
      <c r="AQ29" s="279"/>
      <c r="AR29" s="279"/>
      <c r="AS29" s="284"/>
      <c r="AT29" s="284"/>
      <c r="AU29" s="284"/>
      <c r="AV29" s="284"/>
    </row>
    <row r="30" spans="1:59" s="406" customFormat="1" x14ac:dyDescent="0.2">
      <c r="A30" s="358"/>
      <c r="B30" s="274"/>
      <c r="C30" s="274"/>
      <c r="D30" s="274"/>
      <c r="E30" s="274"/>
      <c r="F30" s="274"/>
      <c r="G30" s="274"/>
      <c r="H30" s="274"/>
      <c r="I30" s="274"/>
      <c r="J30" s="274"/>
      <c r="K30" s="262"/>
      <c r="L30" s="262"/>
      <c r="M30" s="262"/>
      <c r="N30" s="279"/>
      <c r="O30" s="279"/>
      <c r="P30" s="358"/>
      <c r="Q30" s="279"/>
      <c r="R30" s="279"/>
      <c r="Z30" s="476"/>
      <c r="AA30" s="262"/>
      <c r="AB30" s="264"/>
      <c r="AC30" s="279"/>
      <c r="AR30" s="279"/>
      <c r="AS30" s="279"/>
      <c r="AT30" s="279"/>
      <c r="AU30" s="279"/>
      <c r="AV30" s="279"/>
    </row>
    <row r="31" spans="1:59" s="406" customFormat="1" x14ac:dyDescent="0.2">
      <c r="A31" s="358"/>
      <c r="B31" s="268"/>
      <c r="C31" s="279"/>
      <c r="D31" s="279"/>
      <c r="E31" s="279" t="s">
        <v>224</v>
      </c>
      <c r="F31" s="279"/>
      <c r="G31" s="274"/>
      <c r="H31" s="274"/>
      <c r="I31" s="274"/>
      <c r="J31" s="274"/>
      <c r="K31" s="262"/>
      <c r="L31" s="262"/>
      <c r="M31" s="262"/>
      <c r="N31" s="277"/>
      <c r="O31" s="279"/>
      <c r="P31" s="358"/>
      <c r="Q31" s="279"/>
      <c r="R31" s="279"/>
      <c r="Z31" s="476"/>
      <c r="AA31" s="262"/>
      <c r="AB31" s="264"/>
      <c r="AC31" s="282"/>
      <c r="AR31" s="280"/>
      <c r="AS31" s="280"/>
      <c r="AT31" s="280"/>
      <c r="AU31" s="280"/>
      <c r="AV31" s="279"/>
    </row>
    <row r="32" spans="1:59" s="406" customFormat="1" x14ac:dyDescent="0.2">
      <c r="A32" s="358"/>
      <c r="B32" s="268"/>
      <c r="C32" s="279"/>
      <c r="D32" s="279"/>
      <c r="E32" s="279"/>
      <c r="F32" s="279"/>
      <c r="G32" s="274"/>
      <c r="H32" s="274"/>
      <c r="I32" s="274"/>
      <c r="J32" s="274"/>
      <c r="K32" s="277"/>
      <c r="L32" s="277"/>
      <c r="M32" s="277"/>
      <c r="N32" s="277"/>
      <c r="O32" s="279"/>
      <c r="P32" s="358"/>
      <c r="Q32" s="279"/>
      <c r="R32" s="279"/>
      <c r="Z32" s="262"/>
      <c r="AA32" s="262"/>
      <c r="AB32" s="279"/>
      <c r="AC32" s="279"/>
      <c r="AR32" s="279"/>
      <c r="AS32" s="279"/>
      <c r="AT32" s="279"/>
      <c r="AU32" s="279"/>
      <c r="AV32" s="279"/>
    </row>
    <row r="33" spans="1:48" s="406" customFormat="1" x14ac:dyDescent="0.2">
      <c r="A33" s="358"/>
      <c r="B33" s="274"/>
      <c r="C33" s="269"/>
      <c r="D33" s="270" t="s">
        <v>225</v>
      </c>
      <c r="E33" s="271" t="s">
        <v>226</v>
      </c>
      <c r="F33" s="321" t="e">
        <f>IF(H27&lt;=1,0,F35)</f>
        <v>#DIV/0!</v>
      </c>
      <c r="G33" s="274"/>
      <c r="H33" s="274"/>
      <c r="I33" s="274"/>
      <c r="J33" s="274" t="s">
        <v>227</v>
      </c>
      <c r="K33" s="277"/>
      <c r="L33" s="277"/>
      <c r="M33" s="277"/>
      <c r="N33" s="277"/>
      <c r="O33" s="262"/>
      <c r="P33" s="358"/>
      <c r="Q33" s="279"/>
      <c r="R33" s="279"/>
      <c r="S33" s="262"/>
      <c r="T33" s="262"/>
      <c r="U33" s="262"/>
      <c r="V33" s="262"/>
      <c r="W33" s="262"/>
      <c r="X33" s="262"/>
      <c r="Y33" s="262"/>
      <c r="Z33" s="262"/>
      <c r="AA33" s="262"/>
      <c r="AB33" s="264"/>
      <c r="AC33" s="283"/>
      <c r="AR33" s="281"/>
      <c r="AS33" s="281"/>
      <c r="AT33" s="281"/>
      <c r="AU33" s="281"/>
      <c r="AV33" s="279"/>
    </row>
    <row r="34" spans="1:48" s="406" customFormat="1" ht="18" x14ac:dyDescent="0.2">
      <c r="A34" s="358"/>
      <c r="B34" s="274"/>
      <c r="C34" s="273" t="e">
        <f>IF(H27&lt;=1,"~","")</f>
        <v>#DIV/0!</v>
      </c>
      <c r="D34" s="270" t="s">
        <v>228</v>
      </c>
      <c r="E34" s="274" t="e">
        <f>IF(C34="","","0")</f>
        <v>#DIV/0!</v>
      </c>
      <c r="F34" s="274"/>
      <c r="G34" s="274"/>
      <c r="H34" s="274"/>
      <c r="I34" s="270" t="s">
        <v>225</v>
      </c>
      <c r="J34" s="270" t="s">
        <v>229</v>
      </c>
      <c r="L34" s="264"/>
      <c r="M34" s="410"/>
      <c r="N34" s="262"/>
      <c r="O34" s="279"/>
      <c r="P34" s="358"/>
      <c r="Q34" s="279"/>
      <c r="R34" s="279"/>
      <c r="S34" s="279"/>
      <c r="T34" s="279"/>
      <c r="U34" s="279"/>
      <c r="V34" s="279"/>
      <c r="W34" s="279"/>
      <c r="X34" s="279"/>
      <c r="Y34" s="279"/>
      <c r="Z34" s="279"/>
      <c r="AA34" s="279"/>
      <c r="AB34" s="279"/>
      <c r="AC34" s="279"/>
      <c r="AR34" s="279"/>
      <c r="AS34" s="279"/>
      <c r="AT34" s="279"/>
      <c r="AU34" s="279"/>
      <c r="AV34" s="279"/>
    </row>
    <row r="35" spans="1:48" s="406" customFormat="1" ht="18" x14ac:dyDescent="0.2">
      <c r="A35" s="358"/>
      <c r="B35" s="274"/>
      <c r="C35" s="273" t="e">
        <f>IF(AND(H27&lt;=1.25,H27&gt;1),"~","")</f>
        <v>#DIV/0!</v>
      </c>
      <c r="D35" s="270" t="s">
        <v>251</v>
      </c>
      <c r="E35" s="274" t="e">
        <f>IF(C35="","","1")</f>
        <v>#DIV/0!</v>
      </c>
      <c r="F35" s="275" t="e">
        <f>IF(H27&lt;=1.25,1,F36)</f>
        <v>#DIV/0!</v>
      </c>
      <c r="G35" s="274"/>
      <c r="H35" s="274"/>
      <c r="I35" s="270" t="s">
        <v>228</v>
      </c>
      <c r="J35" s="274">
        <v>0</v>
      </c>
      <c r="K35" s="358"/>
      <c r="L35" s="358"/>
      <c r="M35" s="358"/>
      <c r="N35" s="358"/>
      <c r="O35" s="358"/>
      <c r="P35" s="358"/>
      <c r="AR35" s="279"/>
      <c r="AS35" s="279"/>
      <c r="AT35" s="279"/>
      <c r="AU35" s="279"/>
      <c r="AV35" s="279"/>
    </row>
    <row r="36" spans="1:48" s="406" customFormat="1" ht="18" x14ac:dyDescent="0.2">
      <c r="A36" s="358"/>
      <c r="B36" s="268"/>
      <c r="C36" s="273" t="e">
        <f>IF(AND(H27&lt;=1.5,H27&gt;1.25),"~","")</f>
        <v>#DIV/0!</v>
      </c>
      <c r="D36" s="270" t="s">
        <v>252</v>
      </c>
      <c r="E36" s="274" t="e">
        <f>IF(C36="","","2")</f>
        <v>#DIV/0!</v>
      </c>
      <c r="F36" s="275" t="e">
        <f>IF(H27&lt;=1.5,2,F37)</f>
        <v>#DIV/0!</v>
      </c>
      <c r="G36" s="274"/>
      <c r="H36" s="274"/>
      <c r="I36" s="270" t="s">
        <v>251</v>
      </c>
      <c r="J36" s="274">
        <v>1</v>
      </c>
      <c r="K36" s="358"/>
      <c r="L36" s="358"/>
      <c r="M36" s="358"/>
      <c r="N36" s="358"/>
      <c r="O36" s="358"/>
      <c r="P36" s="358"/>
    </row>
    <row r="37" spans="1:48" s="406" customFormat="1" ht="18" x14ac:dyDescent="0.2">
      <c r="A37" s="358"/>
      <c r="B37" s="268"/>
      <c r="C37" s="273" t="e">
        <f>IF(AND(H27&lt;=1.75,H27&gt;1.5),"~","")</f>
        <v>#DIV/0!</v>
      </c>
      <c r="D37" s="270" t="s">
        <v>253</v>
      </c>
      <c r="E37" s="274" t="e">
        <f>IF(C37="","","3")</f>
        <v>#DIV/0!</v>
      </c>
      <c r="F37" s="275" t="e">
        <f>IF(H27&lt;=1.75,3,F38)</f>
        <v>#DIV/0!</v>
      </c>
      <c r="G37" s="274"/>
      <c r="H37" s="274"/>
      <c r="I37" s="270" t="s">
        <v>252</v>
      </c>
      <c r="J37" s="274">
        <v>2</v>
      </c>
      <c r="K37" s="358"/>
      <c r="L37" s="358"/>
      <c r="M37" s="358"/>
      <c r="N37" s="358"/>
      <c r="O37" s="358"/>
      <c r="P37" s="358"/>
    </row>
    <row r="38" spans="1:48" s="406" customFormat="1" ht="18" x14ac:dyDescent="0.2">
      <c r="A38" s="358"/>
      <c r="B38" s="268"/>
      <c r="C38" s="273" t="e">
        <f>IF(AND(H27&lt;=2,H27&gt;1.75),"~","")</f>
        <v>#DIV/0!</v>
      </c>
      <c r="D38" s="270" t="s">
        <v>254</v>
      </c>
      <c r="E38" s="274" t="e">
        <f>IF(C38="","","4")</f>
        <v>#DIV/0!</v>
      </c>
      <c r="F38" s="275" t="e">
        <f>IF(H27&lt;=2,4,F39)</f>
        <v>#DIV/0!</v>
      </c>
      <c r="G38" s="274"/>
      <c r="H38" s="274"/>
      <c r="I38" s="270" t="s">
        <v>253</v>
      </c>
      <c r="J38" s="274">
        <v>3</v>
      </c>
      <c r="K38" s="358"/>
      <c r="L38" s="358"/>
      <c r="M38" s="358"/>
      <c r="N38" s="358"/>
      <c r="O38" s="358"/>
      <c r="P38" s="358"/>
      <c r="Q38" s="358"/>
      <c r="R38" s="358"/>
      <c r="S38" s="358"/>
      <c r="T38" s="358"/>
      <c r="U38" s="358"/>
      <c r="V38" s="358"/>
      <c r="W38" s="358"/>
      <c r="X38" s="358"/>
      <c r="Y38" s="358"/>
      <c r="Z38" s="358"/>
      <c r="AA38" s="358"/>
      <c r="AB38" s="358"/>
      <c r="AC38" s="358"/>
    </row>
    <row r="39" spans="1:48" ht="18" x14ac:dyDescent="0.2">
      <c r="B39" s="268"/>
      <c r="C39" s="273" t="e">
        <f>IF(AND(H27&lt;=3,H27&gt;2),"~","")</f>
        <v>#DIV/0!</v>
      </c>
      <c r="D39" s="270" t="s">
        <v>255</v>
      </c>
      <c r="E39" s="274" t="e">
        <f>IF(C39="","","5")</f>
        <v>#DIV/0!</v>
      </c>
      <c r="F39" s="275" t="e">
        <f>IF(H27&lt;=3,5,F40)</f>
        <v>#DIV/0!</v>
      </c>
      <c r="G39" s="274"/>
      <c r="H39" s="274"/>
      <c r="I39" s="270" t="s">
        <v>254</v>
      </c>
      <c r="J39" s="274">
        <v>4</v>
      </c>
    </row>
    <row r="40" spans="1:48" ht="18" x14ac:dyDescent="0.2">
      <c r="B40" s="268"/>
      <c r="C40" s="273" t="e">
        <f>IF(AND(H27&lt;=4,H27&gt;3),"~","")</f>
        <v>#DIV/0!</v>
      </c>
      <c r="D40" s="270" t="s">
        <v>256</v>
      </c>
      <c r="E40" s="274" t="e">
        <f>IF(C40="","","6")</f>
        <v>#DIV/0!</v>
      </c>
      <c r="F40" s="275" t="e">
        <f>IF(H27&lt;=4,6,F41)</f>
        <v>#DIV/0!</v>
      </c>
      <c r="G40" s="274"/>
      <c r="H40" s="274"/>
      <c r="I40" s="270" t="s">
        <v>255</v>
      </c>
      <c r="J40" s="274">
        <v>5</v>
      </c>
    </row>
    <row r="41" spans="1:48" ht="18" x14ac:dyDescent="0.2">
      <c r="B41" s="274"/>
      <c r="C41" s="273" t="e">
        <f>IF(AND(H27&lt;=5,H27&gt;4),"~","")</f>
        <v>#DIV/0!</v>
      </c>
      <c r="D41" s="270" t="s">
        <v>257</v>
      </c>
      <c r="E41" s="274" t="e">
        <f>IF(C41="","","7")</f>
        <v>#DIV/0!</v>
      </c>
      <c r="F41" s="275" t="e">
        <f>IF(H27&lt;=5,7,F42)</f>
        <v>#DIV/0!</v>
      </c>
      <c r="G41" s="274"/>
      <c r="H41" s="274"/>
      <c r="I41" s="270" t="s">
        <v>256</v>
      </c>
      <c r="J41" s="274">
        <v>6</v>
      </c>
    </row>
    <row r="42" spans="1:48" ht="18" x14ac:dyDescent="0.2">
      <c r="B42" s="274"/>
      <c r="C42" s="273" t="e">
        <f>IF(AND(H27&lt;=8,H27&gt;5),"~","")</f>
        <v>#DIV/0!</v>
      </c>
      <c r="D42" s="270" t="s">
        <v>258</v>
      </c>
      <c r="E42" s="274" t="e">
        <f>IF(C42="","","8")</f>
        <v>#DIV/0!</v>
      </c>
      <c r="F42" s="275" t="e">
        <f>IF(H27&lt;=8,8,F43)</f>
        <v>#DIV/0!</v>
      </c>
      <c r="G42" s="274"/>
      <c r="H42" s="274"/>
      <c r="I42" s="270" t="s">
        <v>257</v>
      </c>
      <c r="J42" s="274">
        <v>7</v>
      </c>
    </row>
    <row r="43" spans="1:48" ht="18" x14ac:dyDescent="0.2">
      <c r="B43" s="274"/>
      <c r="C43" s="273" t="e">
        <f>IF(AND(H27&lt;=10,H27&gt;8),"~","")</f>
        <v>#DIV/0!</v>
      </c>
      <c r="D43" s="270" t="s">
        <v>259</v>
      </c>
      <c r="E43" s="274" t="e">
        <f>IF(C43="","","9")</f>
        <v>#DIV/0!</v>
      </c>
      <c r="F43" s="275" t="e">
        <f>IF(H27&lt;=10,9,F44)</f>
        <v>#DIV/0!</v>
      </c>
      <c r="G43" s="274"/>
      <c r="H43" s="274"/>
      <c r="I43" s="270" t="s">
        <v>258</v>
      </c>
      <c r="J43" s="274">
        <v>8</v>
      </c>
    </row>
    <row r="44" spans="1:48" ht="18" x14ac:dyDescent="0.2">
      <c r="B44" s="274"/>
      <c r="C44" s="273" t="e">
        <f>IF(H27&gt;10,"~","")</f>
        <v>#DIV/0!</v>
      </c>
      <c r="D44" s="274" t="s">
        <v>232</v>
      </c>
      <c r="E44" s="274" t="e">
        <f>IF(C44="","","10")</f>
        <v>#DIV/0!</v>
      </c>
      <c r="F44" s="275" t="e">
        <f>IF(H27&gt;10,10,"")</f>
        <v>#DIV/0!</v>
      </c>
      <c r="G44" s="274"/>
      <c r="H44" s="274"/>
      <c r="I44" s="270" t="s">
        <v>259</v>
      </c>
      <c r="J44" s="274">
        <v>9</v>
      </c>
    </row>
    <row r="45" spans="1:48" x14ac:dyDescent="0.2">
      <c r="B45" s="279"/>
      <c r="C45" s="274"/>
      <c r="D45" s="274"/>
      <c r="E45" s="274"/>
      <c r="F45" s="274"/>
      <c r="G45" s="274"/>
      <c r="H45" s="274"/>
      <c r="I45" s="274" t="s">
        <v>232</v>
      </c>
      <c r="J45" s="274">
        <v>10</v>
      </c>
    </row>
    <row r="46" spans="1:48" x14ac:dyDescent="0.2">
      <c r="B46" s="274"/>
      <c r="C46" s="274"/>
      <c r="D46" s="274"/>
      <c r="E46" s="274"/>
      <c r="F46" s="274"/>
      <c r="G46" s="274"/>
      <c r="H46" s="274"/>
      <c r="I46" s="274"/>
      <c r="J46" s="274"/>
    </row>
    <row r="50" spans="1:43" x14ac:dyDescent="0.2">
      <c r="Q50" s="277"/>
      <c r="R50" s="277"/>
      <c r="S50" s="277"/>
      <c r="T50" s="277"/>
      <c r="U50" s="277"/>
      <c r="V50" s="277"/>
      <c r="W50" s="277"/>
      <c r="X50" s="277"/>
      <c r="Y50" s="277"/>
      <c r="Z50" s="277"/>
      <c r="AA50" s="277"/>
      <c r="AB50" s="277"/>
      <c r="AC50" s="277"/>
    </row>
    <row r="51" spans="1:43" s="277" customFormat="1" ht="12.95" customHeight="1" x14ac:dyDescent="0.2">
      <c r="A51" s="383"/>
    </row>
    <row r="52" spans="1:43" s="277" customFormat="1" ht="12.95" customHeight="1" x14ac:dyDescent="0.2">
      <c r="A52" s="383"/>
    </row>
    <row r="53" spans="1:43" s="277" customFormat="1" ht="12.95" customHeight="1" x14ac:dyDescent="0.2">
      <c r="A53" s="383"/>
    </row>
    <row r="54" spans="1:43" s="277" customFormat="1" ht="12.95" customHeight="1" x14ac:dyDescent="0.2">
      <c r="A54" s="383"/>
    </row>
    <row r="55" spans="1:43" s="277" customFormat="1" ht="12.95" customHeight="1" x14ac:dyDescent="0.2">
      <c r="A55" s="383"/>
    </row>
    <row r="56" spans="1:43" s="277" customFormat="1" ht="12.95" customHeight="1" x14ac:dyDescent="0.2">
      <c r="A56" s="383"/>
    </row>
    <row r="57" spans="1:43" s="277" customFormat="1" ht="12.95" customHeight="1" x14ac:dyDescent="0.2">
      <c r="A57" s="383"/>
    </row>
    <row r="58" spans="1:43" s="277" customFormat="1" ht="12.95" customHeight="1" x14ac:dyDescent="0.2">
      <c r="A58" s="383"/>
    </row>
    <row r="59" spans="1:43" s="277" customFormat="1" ht="12.95" customHeight="1" x14ac:dyDescent="0.2">
      <c r="A59" s="383"/>
      <c r="AD59" s="358"/>
      <c r="AE59" s="358"/>
      <c r="AF59" s="358"/>
      <c r="AG59" s="358"/>
      <c r="AH59" s="358"/>
      <c r="AI59" s="358"/>
      <c r="AJ59" s="358"/>
      <c r="AK59" s="358"/>
      <c r="AL59" s="358"/>
      <c r="AM59" s="358"/>
      <c r="AN59" s="358"/>
      <c r="AO59" s="358"/>
      <c r="AP59" s="358"/>
      <c r="AQ59" s="358"/>
    </row>
    <row r="60" spans="1:43" s="277" customFormat="1" ht="12.95" customHeight="1" x14ac:dyDescent="0.2">
      <c r="A60" s="383"/>
      <c r="AD60" s="358"/>
      <c r="AE60" s="358"/>
      <c r="AF60" s="358"/>
      <c r="AG60" s="358"/>
      <c r="AH60" s="358"/>
      <c r="AI60" s="358"/>
      <c r="AJ60" s="358"/>
      <c r="AK60" s="358"/>
      <c r="AL60" s="358"/>
      <c r="AM60" s="358"/>
      <c r="AN60" s="358"/>
      <c r="AO60" s="358"/>
      <c r="AP60" s="358"/>
      <c r="AQ60" s="358"/>
    </row>
    <row r="61" spans="1:43" s="277" customFormat="1" ht="12.95" customHeight="1" x14ac:dyDescent="0.2">
      <c r="A61" s="383"/>
      <c r="AD61" s="358"/>
      <c r="AE61" s="358"/>
      <c r="AF61" s="358"/>
      <c r="AG61" s="358"/>
      <c r="AH61" s="358"/>
      <c r="AI61" s="358"/>
      <c r="AJ61" s="358"/>
      <c r="AK61" s="358"/>
      <c r="AL61" s="358"/>
      <c r="AM61" s="358"/>
      <c r="AN61" s="358"/>
      <c r="AO61" s="358"/>
      <c r="AP61" s="358"/>
      <c r="AQ61" s="358"/>
    </row>
    <row r="62" spans="1:43" s="277" customFormat="1" ht="12.95" customHeight="1" x14ac:dyDescent="0.2">
      <c r="A62" s="383"/>
      <c r="AD62" s="358"/>
      <c r="AE62" s="358"/>
      <c r="AF62" s="358"/>
      <c r="AG62" s="358"/>
      <c r="AH62" s="358"/>
      <c r="AI62" s="358"/>
      <c r="AJ62" s="358"/>
      <c r="AK62" s="358"/>
      <c r="AL62" s="358"/>
      <c r="AM62" s="358"/>
      <c r="AN62" s="358"/>
      <c r="AO62" s="358"/>
      <c r="AP62" s="358"/>
      <c r="AQ62" s="358"/>
    </row>
    <row r="63" spans="1:43" s="277" customFormat="1" ht="12.95" customHeight="1" x14ac:dyDescent="0.2">
      <c r="A63" s="383"/>
      <c r="AD63" s="358"/>
      <c r="AE63" s="358"/>
      <c r="AF63" s="358"/>
      <c r="AG63" s="358"/>
      <c r="AH63" s="358"/>
      <c r="AI63" s="358"/>
      <c r="AJ63" s="358"/>
      <c r="AK63" s="358"/>
      <c r="AL63" s="358"/>
      <c r="AM63" s="358"/>
      <c r="AN63" s="358"/>
      <c r="AO63" s="358"/>
      <c r="AP63" s="358"/>
      <c r="AQ63" s="358"/>
    </row>
    <row r="64" spans="1:43" s="277" customFormat="1" ht="12.95" customHeight="1" x14ac:dyDescent="0.2">
      <c r="A64" s="383"/>
      <c r="AD64" s="358"/>
      <c r="AE64" s="358"/>
      <c r="AF64" s="358"/>
      <c r="AG64" s="358"/>
      <c r="AH64" s="358"/>
      <c r="AI64" s="358"/>
      <c r="AJ64" s="358"/>
      <c r="AK64" s="358"/>
      <c r="AL64" s="358"/>
      <c r="AM64" s="358"/>
      <c r="AN64" s="358"/>
      <c r="AO64" s="358"/>
      <c r="AP64" s="358"/>
      <c r="AQ64" s="358"/>
    </row>
    <row r="65" spans="1:43" s="277" customFormat="1" ht="12.95" customHeight="1" x14ac:dyDescent="0.2">
      <c r="A65" s="383"/>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row>
    <row r="66" spans="1:43" x14ac:dyDescent="0.2">
      <c r="O66" s="277"/>
    </row>
    <row r="67" spans="1:43" x14ac:dyDescent="0.2">
      <c r="O67" s="277"/>
    </row>
    <row r="68" spans="1:43" x14ac:dyDescent="0.2">
      <c r="O68" s="277"/>
    </row>
    <row r="132" spans="1:43" x14ac:dyDescent="0.2">
      <c r="AD132" s="277"/>
      <c r="AE132" s="277"/>
      <c r="AF132" s="277"/>
      <c r="AG132" s="277"/>
      <c r="AH132" s="277"/>
      <c r="AI132" s="277"/>
      <c r="AJ132" s="277"/>
      <c r="AK132" s="277"/>
      <c r="AL132" s="277"/>
      <c r="AM132" s="277"/>
      <c r="AN132" s="277"/>
      <c r="AO132" s="277"/>
      <c r="AP132" s="277"/>
      <c r="AQ132" s="277"/>
    </row>
    <row r="133" spans="1:43" x14ac:dyDescent="0.2">
      <c r="AD133" s="277"/>
      <c r="AE133" s="277"/>
      <c r="AF133" s="277"/>
      <c r="AG133" s="277"/>
      <c r="AH133" s="277"/>
      <c r="AI133" s="277"/>
      <c r="AJ133" s="277"/>
      <c r="AK133" s="277"/>
      <c r="AL133" s="277"/>
      <c r="AM133" s="277"/>
      <c r="AN133" s="277"/>
      <c r="AO133" s="277"/>
      <c r="AP133" s="277"/>
      <c r="AQ133" s="277"/>
    </row>
    <row r="134" spans="1:43" x14ac:dyDescent="0.2">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row>
    <row r="135" spans="1:43" s="277" customFormat="1" ht="12.95" customHeight="1" x14ac:dyDescent="0.2">
      <c r="A135" s="383"/>
      <c r="B135" s="358"/>
      <c r="C135" s="358"/>
      <c r="D135" s="358"/>
      <c r="E135" s="358"/>
      <c r="F135" s="358"/>
      <c r="G135" s="358"/>
      <c r="H135" s="358"/>
      <c r="I135" s="358"/>
      <c r="J135" s="358"/>
      <c r="K135" s="358"/>
      <c r="L135" s="358"/>
      <c r="M135" s="358"/>
      <c r="N135" s="358"/>
      <c r="O135" s="358"/>
    </row>
    <row r="136" spans="1:43" s="277" customFormat="1" ht="12.95" customHeight="1" x14ac:dyDescent="0.2">
      <c r="A136" s="383"/>
      <c r="J136" s="383"/>
    </row>
    <row r="137" spans="1:43" s="277" customFormat="1" ht="12.95" customHeight="1" x14ac:dyDescent="0.2">
      <c r="A137" s="383"/>
      <c r="F137" s="383"/>
      <c r="O137" s="383"/>
      <c r="Q137" s="358"/>
      <c r="R137" s="358"/>
      <c r="S137" s="358"/>
      <c r="T137" s="358"/>
      <c r="U137" s="358"/>
      <c r="V137" s="358"/>
      <c r="W137" s="358"/>
      <c r="X137" s="358"/>
      <c r="Y137" s="358"/>
      <c r="Z137" s="358"/>
      <c r="AA137" s="358"/>
      <c r="AB137" s="358"/>
      <c r="AC137" s="358"/>
    </row>
    <row r="138" spans="1:43" x14ac:dyDescent="0.2">
      <c r="B138" s="406"/>
      <c r="C138" s="262"/>
      <c r="D138" s="262"/>
      <c r="E138" s="262"/>
      <c r="F138" s="406"/>
      <c r="G138" s="406"/>
      <c r="H138" s="264"/>
      <c r="I138" s="406"/>
      <c r="J138" s="264"/>
      <c r="K138" s="409"/>
      <c r="L138" s="262"/>
      <c r="M138" s="277"/>
      <c r="N138" s="277"/>
      <c r="O138" s="277"/>
    </row>
    <row r="139" spans="1:43" x14ac:dyDescent="0.2">
      <c r="B139" s="277"/>
      <c r="C139" s="277"/>
      <c r="D139" s="277"/>
      <c r="E139" s="277"/>
      <c r="F139" s="277"/>
      <c r="G139" s="277"/>
      <c r="H139" s="277"/>
      <c r="I139" s="277"/>
      <c r="J139" s="277"/>
      <c r="K139" s="274"/>
      <c r="L139" s="277"/>
      <c r="N139" s="277"/>
      <c r="O139" s="277"/>
    </row>
  </sheetData>
  <sheetProtection algorithmName="SHA-512" hashValue="aiy+41i44Zms3LOEyDPHK1wnqJpRolChOAxJgj1aCFAYZb77yVS88Nyr0wDL5gxs9OGwpevSsMtve3F2VwKs4w==" saltValue="0Au/DPxx+pOEUt5gHJDqMA==" spinCount="100000" sheet="1" selectLockedCells="1"/>
  <mergeCells count="25">
    <mergeCell ref="B19:C20"/>
    <mergeCell ref="K17:N17"/>
    <mergeCell ref="K16:L16"/>
    <mergeCell ref="M16:N16"/>
    <mergeCell ref="M14:N15"/>
    <mergeCell ref="D20:E20"/>
    <mergeCell ref="H20:I20"/>
    <mergeCell ref="F19:G20"/>
    <mergeCell ref="K14:L15"/>
    <mergeCell ref="D17:E17"/>
    <mergeCell ref="H17:I17"/>
    <mergeCell ref="D18:E18"/>
    <mergeCell ref="H18:I18"/>
    <mergeCell ref="D19:E19"/>
    <mergeCell ref="H19:I19"/>
    <mergeCell ref="F18:G18"/>
    <mergeCell ref="X26:Y26"/>
    <mergeCell ref="X27:Y27"/>
    <mergeCell ref="X29:Y29"/>
    <mergeCell ref="B27:D28"/>
    <mergeCell ref="Z30:Z31"/>
    <mergeCell ref="G27:G28"/>
    <mergeCell ref="E27:F27"/>
    <mergeCell ref="E28:F28"/>
    <mergeCell ref="H27:I28"/>
  </mergeCells>
  <conditionalFormatting sqref="D136 F136">
    <cfRule type="expression" dxfId="44" priority="28" stopIfTrue="1">
      <formula>ISERROR($K$3)</formula>
    </cfRule>
  </conditionalFormatting>
  <conditionalFormatting sqref="O17 M16">
    <cfRule type="expression" dxfId="43" priority="12" stopIfTrue="1">
      <formula>ISERROR($M$32)</formula>
    </cfRule>
  </conditionalFormatting>
  <conditionalFormatting sqref="K16">
    <cfRule type="expression" dxfId="42" priority="13" stopIfTrue="1">
      <formula>ISERROR($K$32)</formula>
    </cfRule>
  </conditionalFormatting>
  <conditionalFormatting sqref="Z30:Z31">
    <cfRule type="expression" dxfId="41" priority="3" stopIfTrue="1">
      <formula>ISERROR(#REF!)</formula>
    </cfRule>
  </conditionalFormatting>
  <conditionalFormatting sqref="H27">
    <cfRule type="expression" dxfId="40" priority="5" stopIfTrue="1">
      <formula>ISERROR($H$364)</formula>
    </cfRule>
  </conditionalFormatting>
  <conditionalFormatting sqref="E28">
    <cfRule type="expression" dxfId="39" priority="6" stopIfTrue="1">
      <formula>ISERROR($F$365)</formula>
    </cfRule>
  </conditionalFormatting>
  <conditionalFormatting sqref="X29:Y29">
    <cfRule type="expression" dxfId="38" priority="8" stopIfTrue="1">
      <formula>ISERROR($G$361)</formula>
    </cfRule>
  </conditionalFormatting>
  <conditionalFormatting sqref="E27">
    <cfRule type="expression" dxfId="37" priority="9" stopIfTrue="1">
      <formula>ISERROR($F$364)</formula>
    </cfRule>
  </conditionalFormatting>
  <conditionalFormatting sqref="AE26:AF26 AC31 AR31:AU31 AQ26:AR26">
    <cfRule type="expression" dxfId="36" priority="10" stopIfTrue="1">
      <formula>ISERROR($L$365)</formula>
    </cfRule>
  </conditionalFormatting>
  <conditionalFormatting sqref="AE28:AF28 AC33 AR33:AU33 AQ28:AR28">
    <cfRule type="expression" dxfId="35" priority="11" stopIfTrue="1">
      <formula>ISERROR($L$367)</formula>
    </cfRule>
  </conditionalFormatting>
  <conditionalFormatting sqref="S4">
    <cfRule type="expression" dxfId="34" priority="55" stopIfTrue="1">
      <formula>ISERROR(#REF!)</formula>
    </cfRule>
  </conditionalFormatting>
  <conditionalFormatting sqref="K16:L16">
    <cfRule type="containsErrors" dxfId="33" priority="2">
      <formula>ISERROR(K16)</formula>
    </cfRule>
  </conditionalFormatting>
  <conditionalFormatting sqref="M16:N16">
    <cfRule type="containsErrors" dxfId="32" priority="1">
      <formula>ISERROR(M16)</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H88"/>
  <sheetViews>
    <sheetView showGridLines="0" zoomScaleNormal="100" workbookViewId="0">
      <selection activeCell="C6" sqref="C6"/>
    </sheetView>
  </sheetViews>
  <sheetFormatPr defaultRowHeight="12" customHeight="1" x14ac:dyDescent="0.2"/>
  <cols>
    <col min="1" max="1" width="9.140625" style="247"/>
    <col min="2" max="7" width="6.7109375" style="177" customWidth="1"/>
    <col min="8" max="8" width="6.140625" style="177" customWidth="1"/>
    <col min="9" max="15" width="6.7109375" style="177" customWidth="1"/>
    <col min="16" max="16384" width="9.140625" style="247"/>
  </cols>
  <sheetData>
    <row r="1" spans="2:15" ht="12" customHeight="1" thickBot="1" x14ac:dyDescent="0.25">
      <c r="B1" s="247"/>
      <c r="C1" s="247"/>
      <c r="D1" s="247"/>
      <c r="E1" s="247"/>
      <c r="F1" s="247"/>
      <c r="G1" s="247"/>
      <c r="H1" s="247"/>
      <c r="I1" s="247"/>
      <c r="J1" s="247"/>
      <c r="K1" s="247"/>
      <c r="L1" s="247"/>
      <c r="M1" s="247"/>
      <c r="N1" s="247"/>
      <c r="O1" s="247"/>
    </row>
    <row r="2" spans="2:15" ht="12" customHeight="1" x14ac:dyDescent="0.2">
      <c r="B2" s="194"/>
      <c r="C2" s="507" t="s">
        <v>43</v>
      </c>
      <c r="D2" s="507"/>
      <c r="E2" s="507"/>
      <c r="F2" s="507"/>
      <c r="G2" s="507"/>
      <c r="H2" s="507"/>
      <c r="I2" s="507"/>
      <c r="J2" s="507"/>
      <c r="K2" s="507"/>
      <c r="L2" s="507"/>
      <c r="M2" s="507"/>
      <c r="N2" s="507"/>
      <c r="O2" s="193"/>
    </row>
    <row r="3" spans="2:15" ht="12" customHeight="1" x14ac:dyDescent="0.2">
      <c r="B3" s="188"/>
      <c r="C3" s="508"/>
      <c r="D3" s="508"/>
      <c r="E3" s="508"/>
      <c r="F3" s="508"/>
      <c r="G3" s="508"/>
      <c r="H3" s="508"/>
      <c r="I3" s="508"/>
      <c r="J3" s="508"/>
      <c r="K3" s="508"/>
      <c r="L3" s="508"/>
      <c r="M3" s="508"/>
      <c r="N3" s="508"/>
      <c r="O3" s="187"/>
    </row>
    <row r="4" spans="2:15" ht="12" customHeight="1" x14ac:dyDescent="0.2">
      <c r="B4" s="188"/>
      <c r="C4" s="508"/>
      <c r="D4" s="508"/>
      <c r="E4" s="508"/>
      <c r="F4" s="508"/>
      <c r="G4" s="508"/>
      <c r="H4" s="508"/>
      <c r="I4" s="508"/>
      <c r="J4" s="508"/>
      <c r="K4" s="508"/>
      <c r="L4" s="508"/>
      <c r="M4" s="508"/>
      <c r="N4" s="508"/>
      <c r="O4" s="187"/>
    </row>
    <row r="5" spans="2:15" ht="12" customHeight="1" x14ac:dyDescent="0.2">
      <c r="B5" s="206"/>
      <c r="C5" s="1" t="s">
        <v>17</v>
      </c>
      <c r="D5" s="1"/>
      <c r="E5" s="183"/>
      <c r="F5" s="437" t="s">
        <v>262</v>
      </c>
      <c r="G5" s="185"/>
      <c r="H5" s="185" t="s">
        <v>263</v>
      </c>
      <c r="I5" s="182"/>
      <c r="J5" s="329"/>
      <c r="K5" s="185"/>
      <c r="L5" s="186"/>
      <c r="M5" s="190"/>
      <c r="N5" s="190"/>
      <c r="O5" s="187"/>
    </row>
    <row r="6" spans="2:15" ht="12" customHeight="1" x14ac:dyDescent="0.2">
      <c r="B6" s="202"/>
      <c r="C6" s="260"/>
      <c r="D6" s="1" t="s">
        <v>18</v>
      </c>
      <c r="E6" s="184"/>
      <c r="F6" s="192"/>
      <c r="G6" s="191" t="s">
        <v>29</v>
      </c>
      <c r="H6" s="191"/>
      <c r="I6" s="190"/>
      <c r="J6" s="190"/>
      <c r="K6" s="190"/>
      <c r="L6" s="186"/>
      <c r="M6" s="190"/>
      <c r="N6" s="182"/>
      <c r="O6" s="187"/>
    </row>
    <row r="7" spans="2:15" ht="12" customHeight="1" x14ac:dyDescent="0.2">
      <c r="B7" s="202"/>
      <c r="C7" s="260"/>
      <c r="D7" s="1" t="s">
        <v>19</v>
      </c>
      <c r="E7" s="184"/>
      <c r="F7" s="192"/>
      <c r="G7" s="191" t="s">
        <v>28</v>
      </c>
      <c r="H7" s="191"/>
      <c r="I7" s="190"/>
      <c r="J7" s="190"/>
      <c r="K7" s="190"/>
      <c r="L7" s="186"/>
      <c r="M7" s="190"/>
      <c r="N7" s="182"/>
      <c r="O7" s="187"/>
    </row>
    <row r="8" spans="2:15" ht="12" customHeight="1" x14ac:dyDescent="0.2">
      <c r="B8" s="202"/>
      <c r="C8" s="87"/>
      <c r="D8" s="1" t="s">
        <v>20</v>
      </c>
      <c r="E8" s="184"/>
      <c r="F8" s="186" t="str">
        <f>IF(OR('2R SUMMARY'!F8=7,'2R SUMMARY'!F8=8),'GEOMETRY '!C30,'GEOMETRY '!C44)</f>
        <v/>
      </c>
      <c r="G8" s="191" t="s">
        <v>92</v>
      </c>
      <c r="H8" s="191"/>
      <c r="I8" s="190"/>
      <c r="J8" s="190"/>
      <c r="K8" s="190"/>
      <c r="L8" s="189"/>
      <c r="M8" s="190"/>
      <c r="N8" s="182"/>
      <c r="O8" s="187"/>
    </row>
    <row r="9" spans="2:15" ht="12" customHeight="1" x14ac:dyDescent="0.2">
      <c r="B9" s="202"/>
      <c r="C9" s="330"/>
      <c r="D9" s="197"/>
      <c r="E9" s="184"/>
      <c r="F9" s="186"/>
      <c r="G9" s="191"/>
      <c r="H9" s="191"/>
      <c r="I9" s="190"/>
      <c r="J9" s="190"/>
      <c r="K9" s="190"/>
      <c r="L9" s="189"/>
      <c r="M9" s="190"/>
      <c r="N9" s="182"/>
      <c r="O9" s="187"/>
    </row>
    <row r="10" spans="2:15" ht="12" customHeight="1" x14ac:dyDescent="0.2">
      <c r="B10" s="203"/>
      <c r="C10" s="199"/>
      <c r="D10" s="183"/>
      <c r="E10" s="183"/>
      <c r="F10" s="200"/>
      <c r="G10" s="201"/>
      <c r="H10" s="183"/>
      <c r="I10" s="183"/>
      <c r="J10" s="198"/>
      <c r="K10" s="199"/>
      <c r="L10" s="183"/>
      <c r="M10" s="183"/>
      <c r="N10" s="183"/>
      <c r="O10" s="204"/>
    </row>
    <row r="11" spans="2:15" ht="12" customHeight="1" thickBot="1" x14ac:dyDescent="0.25">
      <c r="B11" s="181"/>
      <c r="C11" s="180"/>
      <c r="D11" s="179"/>
      <c r="E11" s="179"/>
      <c r="F11" s="179"/>
      <c r="G11" s="179"/>
      <c r="H11" s="179"/>
      <c r="I11" s="179"/>
      <c r="J11" s="179"/>
      <c r="K11" s="179"/>
      <c r="L11" s="179"/>
      <c r="M11" s="179"/>
      <c r="N11" s="179"/>
      <c r="O11" s="178"/>
    </row>
    <row r="12" spans="2:15" ht="12" customHeight="1" x14ac:dyDescent="0.2">
      <c r="B12" s="247"/>
      <c r="C12" s="247"/>
      <c r="D12" s="247"/>
      <c r="E12" s="247"/>
      <c r="F12" s="247"/>
      <c r="G12" s="247"/>
      <c r="H12" s="247"/>
      <c r="I12" s="247"/>
      <c r="J12" s="247"/>
      <c r="K12" s="247"/>
      <c r="L12" s="247"/>
      <c r="M12" s="247"/>
      <c r="N12" s="247"/>
      <c r="O12" s="247"/>
    </row>
    <row r="13" spans="2:15" ht="12" customHeight="1" x14ac:dyDescent="0.2">
      <c r="B13" s="247"/>
      <c r="C13" s="247"/>
      <c r="D13" s="247"/>
      <c r="E13" s="247"/>
      <c r="F13" s="247"/>
      <c r="G13" s="247"/>
      <c r="H13" s="247"/>
      <c r="I13" s="247"/>
      <c r="J13" s="247"/>
      <c r="K13" s="247"/>
      <c r="L13" s="247"/>
      <c r="M13" s="247"/>
      <c r="N13" s="247"/>
      <c r="O13" s="247"/>
    </row>
    <row r="14" spans="2:15" ht="12" customHeight="1" x14ac:dyDescent="0.2">
      <c r="B14" s="247"/>
      <c r="C14" s="247"/>
      <c r="D14" s="247"/>
      <c r="E14" s="247"/>
      <c r="F14" s="247"/>
      <c r="G14" s="247"/>
      <c r="H14" s="247"/>
      <c r="I14" s="247"/>
      <c r="J14" s="247"/>
      <c r="K14" s="247"/>
      <c r="L14" s="247"/>
      <c r="M14" s="247"/>
      <c r="N14" s="247"/>
      <c r="O14" s="247"/>
    </row>
    <row r="15" spans="2:15" ht="12" customHeight="1" x14ac:dyDescent="0.2">
      <c r="B15" s="247"/>
      <c r="C15" s="247"/>
      <c r="D15" s="247"/>
      <c r="E15" s="247"/>
      <c r="F15" s="247"/>
      <c r="G15" s="247"/>
      <c r="H15" s="247"/>
      <c r="I15" s="247"/>
      <c r="J15" s="247"/>
      <c r="K15" s="247"/>
      <c r="L15" s="247"/>
      <c r="M15" s="247"/>
      <c r="N15" s="247"/>
      <c r="O15" s="247"/>
    </row>
    <row r="16" spans="2:15" ht="12" customHeight="1" x14ac:dyDescent="0.2">
      <c r="B16" s="247"/>
      <c r="C16" s="247"/>
      <c r="D16" s="247"/>
      <c r="E16" s="247"/>
      <c r="F16" s="247"/>
      <c r="G16" s="247"/>
      <c r="H16" s="247"/>
      <c r="I16" s="247"/>
      <c r="J16" s="247"/>
      <c r="K16" s="247"/>
      <c r="L16" s="247"/>
      <c r="M16" s="247"/>
      <c r="N16" s="247"/>
      <c r="O16" s="247"/>
    </row>
    <row r="17" spans="2:34" ht="12" customHeight="1" x14ac:dyDescent="0.2">
      <c r="B17" s="247"/>
      <c r="C17" s="247"/>
      <c r="D17" s="247"/>
      <c r="E17" s="247"/>
      <c r="F17" s="247"/>
      <c r="G17" s="247"/>
      <c r="H17" s="247"/>
      <c r="I17" s="247"/>
      <c r="J17" s="247"/>
      <c r="K17" s="247"/>
      <c r="L17" s="247"/>
      <c r="M17" s="247"/>
      <c r="N17" s="247"/>
      <c r="O17" s="247"/>
    </row>
    <row r="18" spans="2:34" s="294" customFormat="1" ht="11.25" customHeight="1" x14ac:dyDescent="0.2">
      <c r="B18" s="331"/>
      <c r="D18" s="317"/>
      <c r="E18" s="317"/>
      <c r="F18" s="317"/>
      <c r="G18" s="317"/>
      <c r="M18" s="256"/>
      <c r="N18" s="245"/>
      <c r="O18" s="256"/>
      <c r="P18" s="256"/>
      <c r="Q18" s="256"/>
      <c r="R18" s="256"/>
      <c r="S18" s="256"/>
      <c r="T18" s="256"/>
      <c r="U18" s="256"/>
      <c r="V18" s="245"/>
      <c r="W18" s="245"/>
      <c r="X18" s="245"/>
      <c r="Y18" s="245"/>
      <c r="Z18" s="245"/>
      <c r="AA18" s="245"/>
      <c r="AB18" s="245"/>
      <c r="AC18" s="245"/>
      <c r="AD18" s="245"/>
      <c r="AE18" s="245"/>
      <c r="AF18" s="245"/>
      <c r="AG18" s="245"/>
      <c r="AH18" s="245"/>
    </row>
    <row r="19" spans="2:34" s="294" customFormat="1" ht="11.25" customHeight="1" x14ac:dyDescent="0.2">
      <c r="B19" s="331"/>
      <c r="D19" s="332"/>
      <c r="E19" s="332"/>
      <c r="F19" s="332"/>
      <c r="G19" s="245"/>
      <c r="H19" s="332"/>
      <c r="I19" s="332"/>
      <c r="J19" s="245"/>
      <c r="K19" s="245"/>
      <c r="L19" s="245"/>
      <c r="M19" s="245"/>
      <c r="N19" s="245"/>
      <c r="O19" s="245"/>
      <c r="P19" s="245"/>
      <c r="Q19" s="245"/>
      <c r="R19" s="256"/>
      <c r="S19" s="256"/>
      <c r="T19" s="256"/>
      <c r="U19" s="245"/>
      <c r="V19" s="245"/>
      <c r="W19" s="245"/>
      <c r="X19" s="332"/>
      <c r="Y19" s="245"/>
      <c r="Z19" s="245"/>
      <c r="AA19" s="245"/>
      <c r="AB19" s="245"/>
      <c r="AC19" s="245"/>
      <c r="AD19" s="245"/>
      <c r="AE19" s="245"/>
      <c r="AF19" s="245"/>
      <c r="AG19" s="245"/>
      <c r="AH19" s="245"/>
    </row>
    <row r="20" spans="2:34" s="294" customFormat="1" ht="11.25" customHeight="1" x14ac:dyDescent="0.2">
      <c r="B20" s="331"/>
      <c r="C20" s="333" t="s">
        <v>31</v>
      </c>
      <c r="D20" s="245"/>
      <c r="E20" s="256"/>
      <c r="F20" s="256"/>
      <c r="G20" s="256"/>
      <c r="H20" s="256"/>
      <c r="I20" s="256"/>
      <c r="J20" s="256"/>
      <c r="K20" s="245"/>
      <c r="L20" s="245"/>
      <c r="M20" s="245"/>
      <c r="N20" s="245"/>
      <c r="O20" s="245"/>
      <c r="P20" s="245"/>
      <c r="Q20" s="245"/>
      <c r="R20" s="256"/>
      <c r="S20" s="256"/>
      <c r="T20" s="256"/>
      <c r="U20" s="245"/>
      <c r="V20" s="245"/>
      <c r="W20" s="245"/>
      <c r="X20" s="245"/>
      <c r="Y20" s="245"/>
      <c r="Z20" s="245"/>
      <c r="AA20" s="245"/>
      <c r="AB20" s="245"/>
      <c r="AC20" s="245"/>
      <c r="AD20" s="245"/>
      <c r="AE20" s="245"/>
      <c r="AF20" s="245"/>
      <c r="AG20" s="245"/>
      <c r="AH20" s="245"/>
    </row>
    <row r="21" spans="2:34" s="294" customFormat="1" ht="11.25" customHeight="1" x14ac:dyDescent="0.2">
      <c r="B21" s="331"/>
      <c r="C21" s="245"/>
      <c r="D21" s="245"/>
      <c r="E21" s="245"/>
      <c r="F21" s="245"/>
      <c r="G21" s="245"/>
      <c r="H21" s="245"/>
      <c r="I21" s="245"/>
      <c r="J21" s="245"/>
      <c r="K21" s="245"/>
      <c r="L21" s="245"/>
      <c r="M21" s="256"/>
      <c r="N21" s="245"/>
      <c r="O21" s="245"/>
      <c r="P21" s="245"/>
      <c r="Q21" s="242"/>
      <c r="R21" s="245"/>
      <c r="S21" s="245"/>
      <c r="T21" s="245"/>
      <c r="U21" s="245"/>
      <c r="V21" s="245"/>
      <c r="W21" s="245"/>
      <c r="X21" s="245"/>
      <c r="Y21" s="245"/>
      <c r="Z21" s="245"/>
      <c r="AA21" s="245"/>
      <c r="AB21" s="245"/>
      <c r="AC21" s="245"/>
      <c r="AD21" s="245"/>
      <c r="AE21" s="245"/>
      <c r="AF21" s="245"/>
      <c r="AG21" s="245"/>
      <c r="AH21" s="245"/>
    </row>
    <row r="22" spans="2:34" s="294" customFormat="1" ht="11.25" customHeight="1" x14ac:dyDescent="0.2">
      <c r="B22" s="331"/>
      <c r="C22" s="334">
        <f>F6</f>
        <v>0</v>
      </c>
      <c r="D22" s="314" t="s">
        <v>35</v>
      </c>
      <c r="E22" s="335"/>
      <c r="F22" s="335"/>
      <c r="I22" s="336" t="s">
        <v>44</v>
      </c>
      <c r="J22" s="246" t="s">
        <v>1</v>
      </c>
      <c r="K22" s="245"/>
      <c r="L22" s="245"/>
      <c r="M22" s="256"/>
      <c r="N22" s="245"/>
      <c r="O22" s="245"/>
      <c r="P22" s="245"/>
      <c r="Q22" s="245"/>
      <c r="R22" s="245"/>
      <c r="S22" s="245"/>
      <c r="T22" s="245"/>
      <c r="U22" s="245"/>
      <c r="V22" s="245"/>
      <c r="W22" s="245"/>
      <c r="X22" s="245"/>
      <c r="Y22" s="332"/>
      <c r="Z22" s="245"/>
      <c r="AA22" s="245"/>
      <c r="AB22" s="245"/>
      <c r="AC22" s="241"/>
      <c r="AD22" s="242"/>
      <c r="AE22" s="242"/>
      <c r="AF22" s="332"/>
      <c r="AG22" s="261"/>
      <c r="AH22" s="245"/>
    </row>
    <row r="23" spans="2:34" s="294" customFormat="1" ht="11.25" customHeight="1" x14ac:dyDescent="0.2">
      <c r="B23" s="331"/>
      <c r="C23" s="335"/>
      <c r="D23" s="335"/>
      <c r="E23" s="335"/>
      <c r="F23" s="335"/>
      <c r="G23" s="337"/>
      <c r="I23" s="246" t="s">
        <v>15</v>
      </c>
      <c r="J23" s="304">
        <v>5</v>
      </c>
      <c r="K23" s="338"/>
      <c r="L23" s="245"/>
      <c r="M23" s="256"/>
      <c r="N23" s="245"/>
      <c r="O23" s="256"/>
      <c r="P23" s="256"/>
      <c r="Q23" s="256"/>
      <c r="R23" s="256"/>
      <c r="S23" s="256"/>
      <c r="T23" s="256"/>
      <c r="U23" s="256"/>
      <c r="V23" s="256"/>
      <c r="W23" s="245"/>
      <c r="X23" s="245"/>
      <c r="Y23" s="261"/>
      <c r="Z23" s="245"/>
      <c r="AA23" s="245"/>
      <c r="AB23" s="245"/>
      <c r="AC23" s="243"/>
      <c r="AD23" s="242"/>
      <c r="AE23" s="244"/>
      <c r="AF23" s="332"/>
      <c r="AG23" s="261"/>
      <c r="AH23" s="245"/>
    </row>
    <row r="24" spans="2:34" s="294" customFormat="1" ht="11.25" customHeight="1" x14ac:dyDescent="0.2">
      <c r="B24" s="331"/>
      <c r="C24" s="334">
        <f>F7</f>
        <v>0</v>
      </c>
      <c r="D24" s="314" t="s">
        <v>36</v>
      </c>
      <c r="E24" s="335"/>
      <c r="F24" s="335"/>
      <c r="G24" s="339"/>
      <c r="I24" s="246" t="s">
        <v>16</v>
      </c>
      <c r="J24" s="304">
        <v>10</v>
      </c>
      <c r="M24" s="256"/>
      <c r="N24" s="245"/>
      <c r="O24" s="256"/>
      <c r="P24" s="256"/>
      <c r="Q24" s="340"/>
      <c r="R24" s="340"/>
      <c r="S24" s="341"/>
      <c r="T24" s="342"/>
      <c r="U24" s="256"/>
      <c r="V24" s="256"/>
      <c r="W24" s="245"/>
      <c r="X24" s="245"/>
      <c r="Y24" s="261"/>
      <c r="Z24" s="261"/>
      <c r="AA24" s="261"/>
      <c r="AB24" s="261"/>
      <c r="AC24" s="243"/>
      <c r="AD24" s="244"/>
      <c r="AE24" s="244"/>
      <c r="AF24" s="332"/>
      <c r="AG24" s="343"/>
      <c r="AH24" s="245"/>
    </row>
    <row r="25" spans="2:34" s="294" customFormat="1" ht="11.25" customHeight="1" x14ac:dyDescent="0.2">
      <c r="B25" s="331"/>
      <c r="C25" s="335"/>
      <c r="D25" s="335"/>
      <c r="E25" s="335"/>
      <c r="F25" s="335"/>
      <c r="G25" s="335"/>
      <c r="I25" s="246"/>
      <c r="J25" s="246"/>
      <c r="M25" s="256"/>
      <c r="N25" s="245"/>
      <c r="O25" s="256"/>
      <c r="P25" s="256"/>
      <c r="Q25" s="340"/>
      <c r="R25" s="340"/>
      <c r="S25" s="340"/>
      <c r="T25" s="340"/>
      <c r="U25" s="256"/>
      <c r="V25" s="256"/>
      <c r="W25" s="245"/>
      <c r="X25" s="245"/>
      <c r="Y25" s="261"/>
      <c r="Z25" s="245"/>
      <c r="AA25" s="245"/>
      <c r="AB25" s="245"/>
      <c r="AC25" s="243"/>
      <c r="AD25" s="244"/>
      <c r="AE25" s="244"/>
      <c r="AF25" s="332"/>
      <c r="AG25" s="261"/>
      <c r="AH25" s="245"/>
    </row>
    <row r="26" spans="2:34" s="294" customFormat="1" ht="11.25" customHeight="1" x14ac:dyDescent="0.2">
      <c r="B26" s="331"/>
      <c r="C26" s="335"/>
      <c r="D26" s="335"/>
      <c r="E26" s="335"/>
      <c r="F26" s="335"/>
      <c r="G26" s="335"/>
      <c r="I26" s="246"/>
      <c r="J26" s="246"/>
      <c r="M26" s="256"/>
      <c r="N26" s="245"/>
      <c r="O26" s="256"/>
      <c r="P26" s="256"/>
      <c r="Q26" s="340"/>
      <c r="R26" s="340"/>
      <c r="S26" s="340"/>
      <c r="T26" s="340"/>
      <c r="U26" s="256"/>
      <c r="V26" s="256"/>
      <c r="W26" s="245"/>
      <c r="X26" s="245"/>
      <c r="Y26" s="261"/>
      <c r="Z26" s="245"/>
      <c r="AA26" s="245"/>
      <c r="AB26" s="245"/>
      <c r="AC26" s="243"/>
      <c r="AD26" s="244"/>
      <c r="AE26" s="244"/>
      <c r="AF26" s="332"/>
      <c r="AG26" s="261"/>
      <c r="AH26" s="245"/>
    </row>
    <row r="27" spans="2:34" s="294" customFormat="1" ht="11.25" customHeight="1" x14ac:dyDescent="0.2">
      <c r="B27" s="331"/>
      <c r="C27" s="335"/>
      <c r="D27" s="335"/>
      <c r="E27" s="335"/>
      <c r="F27" s="335"/>
      <c r="G27" s="335"/>
      <c r="I27" s="246"/>
      <c r="J27" s="246"/>
      <c r="M27" s="256"/>
      <c r="N27" s="245"/>
      <c r="O27" s="256"/>
      <c r="P27" s="256"/>
      <c r="Q27" s="340"/>
      <c r="R27" s="340"/>
      <c r="S27" s="340"/>
      <c r="T27" s="340"/>
      <c r="U27" s="256"/>
      <c r="V27" s="256"/>
      <c r="W27" s="245"/>
      <c r="X27" s="245"/>
      <c r="Y27" s="261"/>
      <c r="Z27" s="245"/>
      <c r="AA27" s="245"/>
      <c r="AB27" s="245"/>
      <c r="AC27" s="243"/>
      <c r="AD27" s="244"/>
      <c r="AE27" s="244"/>
      <c r="AF27" s="332"/>
      <c r="AG27" s="261"/>
      <c r="AH27" s="245"/>
    </row>
    <row r="28" spans="2:34" s="294" customFormat="1" ht="11.25" customHeight="1" x14ac:dyDescent="0.2">
      <c r="B28" s="344" t="s">
        <v>200</v>
      </c>
      <c r="D28" s="335"/>
      <c r="E28" s="335"/>
      <c r="F28" s="335"/>
      <c r="G28" s="335"/>
      <c r="I28" s="246"/>
      <c r="J28" s="246"/>
      <c r="M28" s="256"/>
      <c r="N28" s="245"/>
      <c r="O28" s="256"/>
      <c r="P28" s="256"/>
      <c r="Q28" s="340"/>
      <c r="R28" s="340"/>
      <c r="S28" s="340"/>
      <c r="T28" s="340"/>
      <c r="U28" s="256"/>
      <c r="V28" s="256"/>
      <c r="W28" s="245"/>
      <c r="X28" s="245"/>
      <c r="Y28" s="261"/>
      <c r="Z28" s="245"/>
      <c r="AA28" s="245"/>
      <c r="AB28" s="245"/>
      <c r="AC28" s="243"/>
      <c r="AD28" s="244"/>
      <c r="AE28" s="244"/>
      <c r="AF28" s="332"/>
      <c r="AG28" s="261"/>
      <c r="AH28" s="245"/>
    </row>
    <row r="29" spans="2:34" s="294" customFormat="1" ht="11.25" customHeight="1" x14ac:dyDescent="0.2">
      <c r="B29" s="331"/>
      <c r="C29" s="314"/>
      <c r="D29" s="335"/>
      <c r="E29" s="335"/>
      <c r="F29" s="335"/>
      <c r="G29" s="335"/>
      <c r="H29" s="335"/>
      <c r="I29" s="335"/>
      <c r="J29" s="335"/>
      <c r="M29" s="245"/>
      <c r="N29" s="245"/>
      <c r="O29" s="245"/>
      <c r="P29" s="245"/>
      <c r="Q29" s="340"/>
      <c r="R29" s="345"/>
      <c r="S29" s="345"/>
      <c r="T29" s="345"/>
      <c r="U29" s="245"/>
      <c r="V29" s="245"/>
      <c r="W29" s="245"/>
      <c r="X29" s="245"/>
      <c r="Y29" s="332"/>
      <c r="Z29" s="263"/>
      <c r="AA29" s="346"/>
      <c r="AB29" s="245"/>
      <c r="AC29" s="243"/>
      <c r="AD29" s="244"/>
      <c r="AE29" s="244"/>
      <c r="AF29" s="332"/>
      <c r="AG29" s="261"/>
      <c r="AH29" s="245"/>
    </row>
    <row r="30" spans="2:34" s="294" customFormat="1" ht="11.25" customHeight="1" x14ac:dyDescent="0.2">
      <c r="B30" s="331"/>
      <c r="C30" s="347" t="str">
        <f>IF(AND(I36=0,I37=0,I38=0),"",C35)</f>
        <v/>
      </c>
      <c r="D30" s="245" t="s">
        <v>201</v>
      </c>
      <c r="E30" s="335"/>
      <c r="F30" s="335"/>
      <c r="G30" s="335"/>
      <c r="H30" s="335"/>
      <c r="I30" s="335"/>
      <c r="J30" s="335"/>
      <c r="M30" s="245"/>
      <c r="N30" s="245"/>
      <c r="O30" s="245"/>
      <c r="P30" s="245"/>
      <c r="Q30" s="340"/>
      <c r="R30" s="340"/>
      <c r="S30" s="340"/>
      <c r="T30" s="340"/>
      <c r="U30" s="245"/>
      <c r="V30" s="245"/>
      <c r="W30" s="245"/>
      <c r="X30" s="245"/>
      <c r="Y30" s="245"/>
      <c r="Z30" s="245"/>
      <c r="AA30" s="245"/>
      <c r="AB30" s="245"/>
      <c r="AC30" s="245"/>
      <c r="AD30" s="245"/>
      <c r="AE30" s="245"/>
      <c r="AF30" s="245"/>
      <c r="AG30" s="245"/>
      <c r="AH30" s="245"/>
    </row>
    <row r="31" spans="2:34" s="294" customFormat="1" ht="11.25" customHeight="1" x14ac:dyDescent="0.2">
      <c r="B31" s="331"/>
      <c r="C31" s="335"/>
      <c r="D31" s="335"/>
      <c r="E31" s="335"/>
      <c r="F31" s="335"/>
      <c r="G31" s="439"/>
      <c r="H31" s="335"/>
      <c r="I31" s="335"/>
      <c r="J31" s="335"/>
      <c r="Q31" s="340"/>
      <c r="R31" s="340"/>
      <c r="S31" s="340"/>
      <c r="T31" s="340"/>
      <c r="U31" s="245"/>
      <c r="W31" s="245"/>
      <c r="X31" s="245"/>
      <c r="Y31" s="245"/>
      <c r="Z31" s="245"/>
      <c r="AA31" s="245"/>
      <c r="AB31" s="245"/>
      <c r="AC31" s="245"/>
      <c r="AD31" s="245"/>
      <c r="AE31" s="245"/>
      <c r="AF31" s="245"/>
      <c r="AG31" s="245"/>
      <c r="AH31" s="245"/>
    </row>
    <row r="32" spans="2:34" s="294" customFormat="1" ht="11.25" customHeight="1" x14ac:dyDescent="0.2">
      <c r="B32" s="331"/>
      <c r="C32" s="505" t="s">
        <v>30</v>
      </c>
      <c r="D32" s="505"/>
      <c r="E32" s="505"/>
      <c r="F32" s="505"/>
      <c r="G32" s="245"/>
      <c r="H32" s="440"/>
      <c r="I32" s="438"/>
      <c r="J32" s="441"/>
      <c r="K32" s="335"/>
      <c r="Q32" s="245"/>
      <c r="R32" s="256"/>
      <c r="S32" s="256"/>
      <c r="T32" s="256"/>
      <c r="U32" s="245"/>
      <c r="W32" s="245"/>
      <c r="X32" s="245"/>
      <c r="Y32" s="256"/>
      <c r="Z32" s="256"/>
      <c r="AA32" s="256"/>
      <c r="AB32" s="256"/>
      <c r="AC32" s="256"/>
      <c r="AD32" s="256"/>
      <c r="AE32" s="256"/>
      <c r="AF32" s="245"/>
      <c r="AG32" s="245"/>
      <c r="AH32" s="245"/>
    </row>
    <row r="33" spans="2:34" s="294" customFormat="1" ht="11.25" customHeight="1" x14ac:dyDescent="0.2">
      <c r="B33" s="331"/>
      <c r="C33" s="316"/>
      <c r="D33" s="256"/>
      <c r="E33" s="245"/>
      <c r="F33" s="245"/>
      <c r="G33" s="245"/>
      <c r="H33" s="245"/>
      <c r="I33" s="245"/>
      <c r="J33" s="245"/>
      <c r="K33" s="335"/>
      <c r="R33" s="246"/>
      <c r="S33" s="246"/>
      <c r="T33" s="246"/>
      <c r="W33" s="245"/>
      <c r="X33" s="245"/>
      <c r="Y33" s="245"/>
      <c r="Z33" s="245"/>
      <c r="AA33" s="245"/>
      <c r="AB33" s="245"/>
      <c r="AC33" s="245"/>
      <c r="AD33" s="245"/>
      <c r="AE33" s="245"/>
      <c r="AF33" s="245"/>
      <c r="AG33" s="245"/>
      <c r="AH33" s="245"/>
    </row>
    <row r="34" spans="2:34" s="294" customFormat="1" ht="11.25" customHeight="1" x14ac:dyDescent="0.2">
      <c r="B34" s="331"/>
      <c r="C34" s="348" t="s">
        <v>32</v>
      </c>
      <c r="D34" s="348" t="s">
        <v>33</v>
      </c>
      <c r="E34" s="348" t="s">
        <v>34</v>
      </c>
      <c r="F34" s="348" t="s">
        <v>14</v>
      </c>
      <c r="G34" s="245"/>
      <c r="M34" s="246"/>
      <c r="N34" s="246"/>
      <c r="O34" s="246"/>
      <c r="R34" s="245"/>
      <c r="S34" s="245"/>
      <c r="T34" s="245"/>
      <c r="U34" s="332"/>
      <c r="V34" s="332"/>
      <c r="W34" s="332"/>
      <c r="X34" s="332"/>
      <c r="Y34" s="332"/>
      <c r="Z34" s="332"/>
      <c r="AA34" s="349"/>
      <c r="AB34" s="350"/>
      <c r="AC34" s="245"/>
    </row>
    <row r="35" spans="2:34" s="294" customFormat="1" ht="11.25" customHeight="1" x14ac:dyDescent="0.2">
      <c r="B35" s="331"/>
      <c r="C35" s="351">
        <f>IF(AND(L41&lt;=50,'TRAFFIC &amp; ACCIDENTS'!D10&lt;400),24,C36)</f>
        <v>26</v>
      </c>
      <c r="D35" s="256">
        <f>IF(AND(L41&lt;=30,'TRAFFIC &amp; ACCIDENTS'!D9&lt;1501),30,D36)</f>
        <v>32</v>
      </c>
      <c r="E35" s="256">
        <f>IF(AND(L41&lt;=50,'TRAFFIC &amp; ACCIDENTS'!D9&lt;2001),34,E36)</f>
        <v>36</v>
      </c>
      <c r="F35" s="256">
        <f>IF('TRAFFIC &amp; ACCIDENTS'!D9&gt;2000,40,0)</f>
        <v>0</v>
      </c>
      <c r="G35" s="245"/>
      <c r="H35" s="245"/>
      <c r="I35" s="294" t="s">
        <v>17</v>
      </c>
      <c r="K35" s="506" t="s">
        <v>202</v>
      </c>
      <c r="L35" s="506"/>
      <c r="M35" s="506"/>
      <c r="N35" s="506"/>
      <c r="O35" s="506"/>
      <c r="R35" s="245"/>
      <c r="S35" s="245"/>
      <c r="T35" s="245"/>
      <c r="U35" s="245"/>
      <c r="V35" s="245"/>
      <c r="W35" s="245"/>
      <c r="X35" s="245"/>
      <c r="Y35" s="245"/>
      <c r="Z35" s="245"/>
      <c r="AA35" s="245"/>
      <c r="AB35" s="245"/>
      <c r="AC35" s="245"/>
    </row>
    <row r="36" spans="2:34" s="294" customFormat="1" ht="11.25" customHeight="1" x14ac:dyDescent="0.2">
      <c r="B36" s="331"/>
      <c r="C36" s="256">
        <f>IF(AND(L41&gt;50,'TRAFFIC &amp; ACCIDENTS'!D9&lt;400),26,D35)</f>
        <v>26</v>
      </c>
      <c r="D36" s="256">
        <f>IF(AND(L41&gt;=35,'TRAFFIC &amp; ACCIDENTS'!D9&lt;1501),32,E35)</f>
        <v>32</v>
      </c>
      <c r="E36" s="256">
        <f>IF(AND(L41&gt;=55,'TRAFFIC &amp; ACCIDENTS'!D9&lt;2001),36,F35)</f>
        <v>36</v>
      </c>
      <c r="F36" s="316"/>
      <c r="G36" s="245"/>
      <c r="H36" s="245"/>
      <c r="I36" s="442">
        <f>C6</f>
        <v>0</v>
      </c>
      <c r="J36" s="294" t="s">
        <v>18</v>
      </c>
      <c r="L36" s="245">
        <f>IF(I36&lt;&gt;0,M36,L37)</f>
        <v>20</v>
      </c>
      <c r="M36" s="245">
        <f>IF('TRAFFIC &amp; ACCIDENTS'!D10&lt;400,30,N36)</f>
        <v>30</v>
      </c>
      <c r="N36" s="245">
        <f>IF('TRAFFIC &amp; ACCIDENTS'!D10&lt;2001,40,50)</f>
        <v>40</v>
      </c>
      <c r="O36" s="246"/>
      <c r="R36" s="245"/>
      <c r="S36" s="245"/>
      <c r="T36" s="245"/>
      <c r="U36" s="245"/>
      <c r="V36" s="245"/>
      <c r="W36" s="245"/>
      <c r="X36" s="245"/>
      <c r="Y36" s="245"/>
      <c r="Z36" s="245"/>
      <c r="AA36" s="245"/>
      <c r="AB36" s="245"/>
      <c r="AC36" s="245"/>
    </row>
    <row r="37" spans="2:34" s="294" customFormat="1" ht="11.25" customHeight="1" x14ac:dyDescent="0.2">
      <c r="B37" s="331"/>
      <c r="C37" s="256"/>
      <c r="D37" s="256"/>
      <c r="E37" s="256"/>
      <c r="F37" s="316"/>
      <c r="G37" s="245"/>
      <c r="H37" s="245"/>
      <c r="I37" s="442">
        <f>C7</f>
        <v>0</v>
      </c>
      <c r="J37" s="294" t="s">
        <v>19</v>
      </c>
      <c r="L37" s="245">
        <f>IF(I37&lt;&gt;0,M37,L38)</f>
        <v>20</v>
      </c>
      <c r="M37" s="245">
        <f>IF('TRAFFIC &amp; ACCIDENTS'!D10&lt;400,20,N37)</f>
        <v>20</v>
      </c>
      <c r="N37" s="245">
        <f>IF('TRAFFIC &amp; ACCIDENTS'!D10&lt;2001,30,40)</f>
        <v>30</v>
      </c>
      <c r="O37" s="246"/>
      <c r="R37" s="245"/>
      <c r="S37" s="245"/>
      <c r="T37" s="245"/>
      <c r="U37" s="245"/>
      <c r="V37" s="245"/>
      <c r="W37" s="245"/>
      <c r="X37" s="245"/>
      <c r="Y37" s="245"/>
      <c r="Z37" s="245"/>
      <c r="AA37" s="245"/>
      <c r="AB37" s="245"/>
      <c r="AC37" s="245"/>
    </row>
    <row r="38" spans="2:34" s="294" customFormat="1" ht="11.25" customHeight="1" x14ac:dyDescent="0.2">
      <c r="H38" s="245"/>
      <c r="I38" s="442">
        <f>C8</f>
        <v>0</v>
      </c>
      <c r="J38" s="294" t="s">
        <v>20</v>
      </c>
      <c r="L38" s="245">
        <f>M38</f>
        <v>20</v>
      </c>
      <c r="M38" s="245">
        <f>IF('TRAFFIC &amp; ACCIDENTS'!D10&lt;400,20,N38)</f>
        <v>20</v>
      </c>
      <c r="N38" s="245">
        <f>IF('TRAFFIC &amp; ACCIDENTS'!D10&lt;2001,30,40)</f>
        <v>30</v>
      </c>
      <c r="O38" s="246"/>
      <c r="R38" s="245"/>
      <c r="S38" s="245"/>
      <c r="T38" s="245"/>
      <c r="U38" s="245"/>
      <c r="V38" s="245"/>
      <c r="W38" s="245"/>
      <c r="X38" s="245"/>
      <c r="Y38" s="245"/>
      <c r="Z38" s="245"/>
      <c r="AA38" s="245"/>
      <c r="AB38" s="245"/>
      <c r="AC38" s="245"/>
    </row>
    <row r="39" spans="2:34" s="294" customFormat="1" ht="11.25" customHeight="1" x14ac:dyDescent="0.2">
      <c r="H39" s="245"/>
      <c r="I39" s="346"/>
      <c r="L39" s="245"/>
      <c r="M39" s="245"/>
      <c r="N39" s="245"/>
      <c r="O39" s="246"/>
      <c r="R39" s="245"/>
      <c r="S39" s="245"/>
      <c r="T39" s="245"/>
      <c r="U39" s="245"/>
      <c r="V39" s="245"/>
      <c r="W39" s="245"/>
      <c r="X39" s="245"/>
      <c r="Y39" s="245"/>
      <c r="Z39" s="245"/>
      <c r="AA39" s="245"/>
      <c r="AB39" s="245"/>
      <c r="AC39" s="245"/>
    </row>
    <row r="40" spans="2:34" s="294" customFormat="1" ht="11.25" customHeight="1" x14ac:dyDescent="0.2">
      <c r="B40" s="259" t="s">
        <v>163</v>
      </c>
      <c r="H40" s="245"/>
      <c r="I40" s="346"/>
      <c r="L40" s="245"/>
      <c r="M40" s="245"/>
      <c r="N40" s="245"/>
      <c r="O40" s="246"/>
      <c r="R40" s="245"/>
      <c r="S40" s="245"/>
      <c r="T40" s="245"/>
      <c r="U40" s="245"/>
      <c r="V40" s="245"/>
      <c r="W40" s="245"/>
      <c r="X40" s="245"/>
      <c r="Y40" s="245"/>
      <c r="Z40" s="245"/>
      <c r="AA40" s="245"/>
      <c r="AB40" s="245"/>
      <c r="AC40" s="245"/>
    </row>
    <row r="41" spans="2:34" s="294" customFormat="1" ht="11.25" customHeight="1" x14ac:dyDescent="0.2">
      <c r="H41" s="245"/>
      <c r="I41" s="246"/>
      <c r="K41" s="336" t="s">
        <v>21</v>
      </c>
      <c r="L41" s="272" t="str">
        <f>IF(AND(I36=0,I37=0,I38=0),"",L36)</f>
        <v/>
      </c>
      <c r="M41" s="245"/>
      <c r="N41" s="245"/>
      <c r="O41" s="246"/>
      <c r="R41" s="245"/>
      <c r="S41" s="245"/>
      <c r="T41" s="245"/>
      <c r="U41" s="245"/>
      <c r="V41" s="245"/>
      <c r="W41" s="245"/>
      <c r="X41" s="245"/>
      <c r="Y41" s="245"/>
      <c r="Z41" s="245"/>
      <c r="AA41" s="245"/>
      <c r="AB41" s="245"/>
      <c r="AC41" s="245"/>
    </row>
    <row r="42" spans="2:34" s="294" customFormat="1" ht="11.25" customHeight="1" x14ac:dyDescent="0.2">
      <c r="H42" s="245"/>
      <c r="I42" s="346"/>
      <c r="L42" s="245"/>
      <c r="M42" s="245"/>
      <c r="N42" s="245"/>
      <c r="O42" s="246"/>
      <c r="R42" s="245"/>
      <c r="S42" s="245"/>
      <c r="T42" s="245"/>
      <c r="U42" s="245"/>
      <c r="V42" s="245"/>
      <c r="W42" s="245"/>
      <c r="X42" s="245"/>
      <c r="Y42" s="245"/>
      <c r="Z42" s="245"/>
      <c r="AA42" s="245"/>
      <c r="AB42" s="245"/>
      <c r="AC42" s="245"/>
    </row>
    <row r="43" spans="2:34" s="294" customFormat="1" ht="11.25" customHeight="1" x14ac:dyDescent="0.2">
      <c r="H43" s="245"/>
      <c r="I43" s="346"/>
      <c r="L43" s="245"/>
      <c r="M43" s="245"/>
      <c r="N43" s="245"/>
      <c r="O43" s="246"/>
      <c r="R43" s="245"/>
      <c r="S43" s="245"/>
      <c r="T43" s="245"/>
      <c r="U43" s="245"/>
      <c r="V43" s="245"/>
      <c r="W43" s="245"/>
      <c r="X43" s="245"/>
      <c r="Y43" s="245"/>
      <c r="Z43" s="245"/>
      <c r="AA43" s="245"/>
      <c r="AB43" s="245"/>
      <c r="AC43" s="245"/>
    </row>
    <row r="44" spans="2:34" s="294" customFormat="1" ht="11.25" customHeight="1" x14ac:dyDescent="0.2">
      <c r="C44" s="347" t="str">
        <f>IF(AND(I36=0,I37=0,I38=0),"",C49)</f>
        <v/>
      </c>
      <c r="D44" s="245" t="s">
        <v>203</v>
      </c>
      <c r="E44" s="335"/>
      <c r="F44" s="335"/>
      <c r="G44" s="335"/>
      <c r="H44" s="335"/>
      <c r="I44" s="335"/>
      <c r="O44" s="246"/>
      <c r="P44" s="246"/>
      <c r="Q44" s="246"/>
      <c r="R44" s="245"/>
      <c r="S44" s="245"/>
      <c r="T44" s="245"/>
      <c r="U44" s="245"/>
      <c r="V44" s="245"/>
      <c r="W44" s="245"/>
      <c r="X44" s="245"/>
      <c r="Y44" s="245"/>
      <c r="Z44" s="245"/>
      <c r="AA44" s="245"/>
      <c r="AB44" s="245"/>
      <c r="AC44" s="245"/>
    </row>
    <row r="45" spans="2:34" s="294" customFormat="1" ht="11.25" customHeight="1" x14ac:dyDescent="0.2">
      <c r="H45" s="245"/>
      <c r="O45" s="246"/>
      <c r="P45" s="246"/>
      <c r="Q45" s="246"/>
      <c r="R45" s="245"/>
      <c r="S45" s="245"/>
      <c r="T45" s="245"/>
      <c r="U45" s="245"/>
      <c r="V45" s="245"/>
      <c r="W45" s="245"/>
      <c r="X45" s="245"/>
      <c r="Y45" s="245"/>
      <c r="Z45" s="245"/>
      <c r="AA45" s="245"/>
      <c r="AB45" s="245"/>
      <c r="AC45" s="245"/>
    </row>
    <row r="46" spans="2:34" s="209" customFormat="1" ht="12" customHeight="1" x14ac:dyDescent="0.2">
      <c r="B46" s="294"/>
      <c r="C46" s="505" t="s">
        <v>204</v>
      </c>
      <c r="D46" s="505"/>
      <c r="E46" s="505"/>
      <c r="F46" s="505"/>
      <c r="G46" s="294"/>
      <c r="H46" s="245"/>
      <c r="I46" s="246"/>
      <c r="J46" s="294"/>
      <c r="K46" s="336"/>
      <c r="L46" s="256"/>
      <c r="M46" s="294"/>
      <c r="N46" s="294"/>
      <c r="O46" s="246"/>
    </row>
    <row r="47" spans="2:34" s="209" customFormat="1" ht="12" customHeight="1" x14ac:dyDescent="0.2">
      <c r="B47" s="294"/>
      <c r="C47" s="316"/>
      <c r="D47" s="256"/>
      <c r="E47" s="245"/>
      <c r="F47" s="245"/>
      <c r="G47" s="294"/>
      <c r="H47" s="245"/>
      <c r="I47" s="246"/>
      <c r="J47" s="294"/>
      <c r="K47" s="336"/>
      <c r="L47" s="256"/>
      <c r="M47" s="294"/>
      <c r="N47" s="294"/>
      <c r="O47" s="246"/>
    </row>
    <row r="48" spans="2:34" s="209" customFormat="1" ht="12" customHeight="1" x14ac:dyDescent="0.2">
      <c r="B48" s="294"/>
      <c r="C48" s="348" t="s">
        <v>32</v>
      </c>
      <c r="D48" s="348" t="s">
        <v>33</v>
      </c>
      <c r="E48" s="348" t="s">
        <v>34</v>
      </c>
      <c r="F48" s="348" t="s">
        <v>14</v>
      </c>
      <c r="G48" s="294"/>
      <c r="H48" s="245"/>
      <c r="I48" s="246"/>
      <c r="J48" s="294"/>
      <c r="K48" s="336"/>
      <c r="L48" s="256"/>
      <c r="M48" s="294"/>
      <c r="N48" s="294"/>
      <c r="O48" s="246"/>
    </row>
    <row r="49" spans="2:15" s="209" customFormat="1" ht="12" customHeight="1" x14ac:dyDescent="0.2">
      <c r="B49" s="294"/>
      <c r="C49" s="351">
        <f>IF(AND(L54&lt;=50,'TRAFFIC &amp; ACCIDENTS'!D9&lt;400),30,C50)</f>
        <v>30</v>
      </c>
      <c r="D49" s="256">
        <f>IF(AND(L54&lt;=30,'TRAFFIC &amp; ACCIDENTS'!D9&lt;1501),34,D50)</f>
        <v>34</v>
      </c>
      <c r="E49" s="256">
        <f>IF(AND(L54&lt;=50,'TRAFFIC &amp; ACCIDENTS'!D9&lt;2001),36,E50)</f>
        <v>36</v>
      </c>
      <c r="F49" s="352">
        <f>IF('TRAFFIC &amp; ACCIDENTS'!D9&gt;2000,40,0)</f>
        <v>0</v>
      </c>
      <c r="G49" s="294"/>
      <c r="H49" s="245"/>
      <c r="I49" s="246"/>
      <c r="J49" s="294"/>
      <c r="K49" s="336"/>
      <c r="L49" s="256"/>
      <c r="M49" s="294"/>
      <c r="N49" s="294"/>
      <c r="O49" s="246"/>
    </row>
    <row r="50" spans="2:15" s="209" customFormat="1" ht="12" customHeight="1" x14ac:dyDescent="0.2">
      <c r="B50" s="294"/>
      <c r="C50" s="256">
        <f>IF(AND(L54&gt;50,'TRAFFIC &amp; ACCIDENTS'!D9&lt;400),30,D49)</f>
        <v>34</v>
      </c>
      <c r="D50" s="256">
        <f>IF(AND(L54&gt;=35,'TRAFFIC &amp; ACCIDENTS'!D9&lt;1501),34,E49)</f>
        <v>36</v>
      </c>
      <c r="E50" s="256">
        <f>IF(AND(L54&gt;=55,'TRAFFIC &amp; ACCIDENTS'!D9&lt;2001),36,F49)</f>
        <v>0</v>
      </c>
      <c r="F50" s="352">
        <f>IF('TRAFFIC &amp; ACCIDENTS'!D9&gt;2000,40,0)</f>
        <v>0</v>
      </c>
      <c r="G50" s="294"/>
      <c r="H50" s="245"/>
      <c r="I50" s="246"/>
      <c r="J50" s="294"/>
      <c r="K50" s="336"/>
      <c r="L50" s="256"/>
      <c r="M50" s="294"/>
      <c r="N50" s="294"/>
      <c r="O50" s="246"/>
    </row>
    <row r="51" spans="2:15" s="209" customFormat="1" ht="12" customHeight="1" x14ac:dyDescent="0.2">
      <c r="B51" s="294"/>
      <c r="C51" s="256"/>
      <c r="D51" s="256"/>
      <c r="E51" s="256"/>
      <c r="F51" s="316"/>
      <c r="G51" s="294"/>
      <c r="H51" s="245"/>
      <c r="I51" s="246"/>
      <c r="J51" s="294"/>
      <c r="K51" s="336"/>
      <c r="L51" s="256"/>
      <c r="M51" s="294"/>
      <c r="N51" s="294"/>
      <c r="O51" s="246"/>
    </row>
    <row r="52" spans="2:15" s="209" customFormat="1" ht="12" customHeight="1" x14ac:dyDescent="0.2">
      <c r="B52" s="294"/>
      <c r="C52" s="294"/>
      <c r="D52" s="294"/>
      <c r="E52" s="294"/>
      <c r="F52" s="294"/>
      <c r="G52" s="294"/>
      <c r="H52" s="294"/>
      <c r="I52" s="294"/>
      <c r="J52" s="294"/>
      <c r="K52" s="294"/>
      <c r="L52" s="294"/>
      <c r="M52" s="246"/>
      <c r="N52" s="246"/>
      <c r="O52" s="246"/>
    </row>
    <row r="53" spans="2:15" s="209" customFormat="1" ht="12" customHeight="1" x14ac:dyDescent="0.2"/>
    <row r="54" spans="2:15" s="209" customFormat="1" ht="12" customHeight="1" x14ac:dyDescent="0.2"/>
    <row r="55" spans="2:15" s="209" customFormat="1" ht="12" customHeight="1" x14ac:dyDescent="0.2"/>
    <row r="56" spans="2:15" s="209" customFormat="1" ht="12" customHeight="1" x14ac:dyDescent="0.2"/>
    <row r="57" spans="2:15" s="209" customFormat="1" ht="12" customHeight="1" x14ac:dyDescent="0.2"/>
    <row r="58" spans="2:15" s="209" customFormat="1" ht="12" customHeight="1" x14ac:dyDescent="0.2"/>
    <row r="59" spans="2:15" s="209" customFormat="1" ht="12" customHeight="1" x14ac:dyDescent="0.2"/>
    <row r="60" spans="2:15" s="209" customFormat="1" ht="12" customHeight="1" x14ac:dyDescent="0.2"/>
    <row r="61" spans="2:15" s="209" customFormat="1" ht="12" customHeight="1" x14ac:dyDescent="0.2"/>
    <row r="62" spans="2:15" s="209" customFormat="1" ht="12" customHeight="1" x14ac:dyDescent="0.2"/>
    <row r="63" spans="2:15" s="209" customFormat="1" ht="12" customHeight="1" x14ac:dyDescent="0.2"/>
    <row r="64" spans="2:15" s="209" customFormat="1" ht="12" customHeight="1" x14ac:dyDescent="0.2"/>
    <row r="65" spans="2:18" s="209" customFormat="1" ht="12" customHeight="1" x14ac:dyDescent="0.2"/>
    <row r="66" spans="2:18" s="209" customFormat="1" ht="12" customHeight="1" x14ac:dyDescent="0.2"/>
    <row r="67" spans="2:18" s="209" customFormat="1" ht="12" customHeight="1" x14ac:dyDescent="0.2"/>
    <row r="68" spans="2:18" s="209" customFormat="1" ht="12" customHeight="1" x14ac:dyDescent="0.2"/>
    <row r="69" spans="2:18" s="209" customFormat="1" ht="12" customHeight="1" x14ac:dyDescent="0.2">
      <c r="B69" s="294"/>
      <c r="C69" s="246"/>
      <c r="D69" s="353" t="s">
        <v>204</v>
      </c>
      <c r="E69" s="246"/>
      <c r="F69" s="246"/>
      <c r="G69" s="294"/>
      <c r="H69" s="294"/>
      <c r="I69" s="246"/>
      <c r="J69" s="353" t="s">
        <v>204</v>
      </c>
      <c r="K69" s="246"/>
      <c r="L69" s="246"/>
      <c r="N69" s="294"/>
      <c r="O69" s="246"/>
      <c r="P69" s="353" t="s">
        <v>204</v>
      </c>
      <c r="Q69" s="246"/>
      <c r="R69" s="246"/>
    </row>
    <row r="70" spans="2:18" s="209" customFormat="1" ht="12" customHeight="1" x14ac:dyDescent="0.2">
      <c r="B70" s="294"/>
      <c r="C70" s="294"/>
      <c r="D70" s="294"/>
      <c r="E70" s="294"/>
      <c r="F70" s="294"/>
      <c r="G70" s="294"/>
      <c r="H70" s="294"/>
      <c r="I70" s="294"/>
      <c r="J70" s="294"/>
      <c r="K70" s="294"/>
      <c r="L70" s="294"/>
      <c r="N70" s="294"/>
      <c r="O70" s="294"/>
      <c r="P70" s="294"/>
      <c r="Q70" s="294"/>
      <c r="R70" s="294"/>
    </row>
    <row r="71" spans="2:18" s="209" customFormat="1" ht="12" customHeight="1" x14ac:dyDescent="0.2">
      <c r="B71" s="336" t="s">
        <v>205</v>
      </c>
      <c r="C71" s="294"/>
      <c r="D71" s="257" t="s">
        <v>206</v>
      </c>
      <c r="E71" s="331"/>
      <c r="F71" s="331"/>
      <c r="G71" s="294"/>
      <c r="H71" s="336" t="s">
        <v>205</v>
      </c>
      <c r="I71" s="294"/>
      <c r="J71" s="246" t="s">
        <v>207</v>
      </c>
      <c r="K71" s="331"/>
      <c r="L71" s="331"/>
      <c r="N71" s="354" t="s">
        <v>205</v>
      </c>
      <c r="O71" s="258" t="s">
        <v>208</v>
      </c>
      <c r="Q71" s="331"/>
      <c r="R71" s="331"/>
    </row>
    <row r="72" spans="2:18" s="209" customFormat="1" ht="12" customHeight="1" x14ac:dyDescent="0.2">
      <c r="B72" s="336" t="s">
        <v>209</v>
      </c>
      <c r="C72" s="348" t="s">
        <v>32</v>
      </c>
      <c r="D72" s="348" t="s">
        <v>33</v>
      </c>
      <c r="E72" s="348" t="s">
        <v>34</v>
      </c>
      <c r="F72" s="348" t="s">
        <v>14</v>
      </c>
      <c r="G72" s="294"/>
      <c r="H72" s="336" t="s">
        <v>209</v>
      </c>
      <c r="I72" s="348" t="s">
        <v>32</v>
      </c>
      <c r="J72" s="348" t="s">
        <v>33</v>
      </c>
      <c r="K72" s="348" t="s">
        <v>34</v>
      </c>
      <c r="L72" s="348" t="s">
        <v>14</v>
      </c>
      <c r="N72" s="354" t="s">
        <v>209</v>
      </c>
      <c r="O72" s="348" t="s">
        <v>32</v>
      </c>
      <c r="P72" s="348" t="s">
        <v>33</v>
      </c>
      <c r="Q72" s="348" t="s">
        <v>34</v>
      </c>
      <c r="R72" s="348" t="s">
        <v>14</v>
      </c>
    </row>
    <row r="73" spans="2:18" s="209" customFormat="1" ht="12" customHeight="1" x14ac:dyDescent="0.2">
      <c r="B73" s="294"/>
      <c r="C73" s="294"/>
      <c r="D73" s="294"/>
      <c r="E73" s="294"/>
      <c r="F73" s="294"/>
      <c r="G73" s="294"/>
      <c r="H73" s="294"/>
      <c r="I73" s="294"/>
      <c r="J73" s="294"/>
      <c r="K73" s="294"/>
      <c r="L73" s="294"/>
    </row>
    <row r="74" spans="2:18" s="209" customFormat="1" ht="12" customHeight="1" x14ac:dyDescent="0.2">
      <c r="B74" s="246">
        <v>40</v>
      </c>
      <c r="C74" s="246">
        <v>22</v>
      </c>
      <c r="D74" s="246">
        <v>22</v>
      </c>
      <c r="E74" s="246">
        <v>22</v>
      </c>
      <c r="F74" s="246">
        <v>24</v>
      </c>
      <c r="G74" s="294"/>
      <c r="H74" s="336" t="s">
        <v>210</v>
      </c>
      <c r="I74" s="246">
        <v>4</v>
      </c>
      <c r="J74" s="246">
        <v>6</v>
      </c>
      <c r="K74" s="246">
        <v>6</v>
      </c>
      <c r="L74" s="246">
        <v>8</v>
      </c>
      <c r="N74" s="246">
        <v>40</v>
      </c>
      <c r="O74" s="246">
        <f>C74+($I$74*2)</f>
        <v>30</v>
      </c>
      <c r="P74" s="246">
        <f>D74+($J$74*2)</f>
        <v>34</v>
      </c>
      <c r="Q74" s="246">
        <f>E74+($K$74*2)</f>
        <v>34</v>
      </c>
      <c r="R74" s="246">
        <f>F74+($L$74*2)</f>
        <v>40</v>
      </c>
    </row>
    <row r="75" spans="2:18" s="209" customFormat="1" ht="12" customHeight="1" x14ac:dyDescent="0.2">
      <c r="B75" s="246">
        <v>45</v>
      </c>
      <c r="C75" s="246">
        <v>22</v>
      </c>
      <c r="D75" s="246">
        <v>22</v>
      </c>
      <c r="E75" s="246">
        <v>22</v>
      </c>
      <c r="F75" s="246">
        <v>24</v>
      </c>
      <c r="G75" s="294"/>
      <c r="H75" s="246"/>
      <c r="I75" s="246"/>
      <c r="J75" s="246"/>
      <c r="K75" s="246"/>
      <c r="L75" s="246"/>
      <c r="N75" s="246">
        <v>45</v>
      </c>
      <c r="O75" s="246">
        <f t="shared" ref="O75:O81" si="0">C75+($I$74*2)</f>
        <v>30</v>
      </c>
      <c r="P75" s="246">
        <f t="shared" ref="P75:P81" si="1">D75+($J$74*2)</f>
        <v>34</v>
      </c>
      <c r="Q75" s="246">
        <f t="shared" ref="Q75:Q81" si="2">E75+($K$74*2)</f>
        <v>34</v>
      </c>
      <c r="R75" s="246">
        <f t="shared" ref="R75:R81" si="3">F75+($L$74*2)</f>
        <v>40</v>
      </c>
    </row>
    <row r="76" spans="2:18" s="209" customFormat="1" ht="12" customHeight="1" x14ac:dyDescent="0.2">
      <c r="B76" s="246">
        <v>50</v>
      </c>
      <c r="C76" s="246">
        <v>22</v>
      </c>
      <c r="D76" s="246">
        <v>22</v>
      </c>
      <c r="E76" s="246">
        <v>24</v>
      </c>
      <c r="F76" s="246">
        <v>24</v>
      </c>
      <c r="G76" s="294"/>
      <c r="H76" s="246"/>
      <c r="I76" s="246"/>
      <c r="J76" s="246"/>
      <c r="K76" s="246"/>
      <c r="L76" s="246"/>
      <c r="N76" s="246">
        <v>50</v>
      </c>
      <c r="O76" s="246">
        <f t="shared" si="0"/>
        <v>30</v>
      </c>
      <c r="P76" s="246">
        <f t="shared" si="1"/>
        <v>34</v>
      </c>
      <c r="Q76" s="246">
        <f t="shared" si="2"/>
        <v>36</v>
      </c>
      <c r="R76" s="246">
        <f t="shared" si="3"/>
        <v>40</v>
      </c>
    </row>
    <row r="77" spans="2:18" s="209" customFormat="1" ht="12" customHeight="1" x14ac:dyDescent="0.2">
      <c r="B77" s="246">
        <v>55</v>
      </c>
      <c r="C77" s="246">
        <v>22</v>
      </c>
      <c r="D77" s="246">
        <v>22</v>
      </c>
      <c r="E77" s="246">
        <v>24</v>
      </c>
      <c r="F77" s="246">
        <v>24</v>
      </c>
      <c r="G77" s="294"/>
      <c r="H77" s="246"/>
      <c r="I77" s="246"/>
      <c r="J77" s="246"/>
      <c r="K77" s="246"/>
      <c r="L77" s="246"/>
      <c r="N77" s="246">
        <v>55</v>
      </c>
      <c r="O77" s="246">
        <f t="shared" si="0"/>
        <v>30</v>
      </c>
      <c r="P77" s="246">
        <f t="shared" si="1"/>
        <v>34</v>
      </c>
      <c r="Q77" s="246">
        <f t="shared" si="2"/>
        <v>36</v>
      </c>
      <c r="R77" s="246">
        <f t="shared" si="3"/>
        <v>40</v>
      </c>
    </row>
    <row r="78" spans="2:18" s="209" customFormat="1" ht="12" customHeight="1" x14ac:dyDescent="0.2">
      <c r="B78" s="246">
        <v>60</v>
      </c>
      <c r="C78" s="246">
        <v>24</v>
      </c>
      <c r="D78" s="246">
        <v>24</v>
      </c>
      <c r="E78" s="246">
        <v>24</v>
      </c>
      <c r="F78" s="246">
        <v>24</v>
      </c>
      <c r="G78" s="294"/>
      <c r="H78" s="246"/>
      <c r="I78" s="246"/>
      <c r="J78" s="246"/>
      <c r="K78" s="246"/>
      <c r="L78" s="246"/>
      <c r="N78" s="246">
        <v>60</v>
      </c>
      <c r="O78" s="246">
        <f t="shared" si="0"/>
        <v>32</v>
      </c>
      <c r="P78" s="246">
        <f t="shared" si="1"/>
        <v>36</v>
      </c>
      <c r="Q78" s="246">
        <f t="shared" si="2"/>
        <v>36</v>
      </c>
      <c r="R78" s="246">
        <f t="shared" si="3"/>
        <v>40</v>
      </c>
    </row>
    <row r="79" spans="2:18" s="209" customFormat="1" ht="12" customHeight="1" x14ac:dyDescent="0.2">
      <c r="B79" s="246">
        <v>65</v>
      </c>
      <c r="C79" s="246">
        <v>24</v>
      </c>
      <c r="D79" s="246">
        <v>24</v>
      </c>
      <c r="E79" s="246">
        <v>24</v>
      </c>
      <c r="F79" s="246">
        <v>24</v>
      </c>
      <c r="G79" s="294"/>
      <c r="H79" s="246"/>
      <c r="I79" s="246"/>
      <c r="J79" s="246"/>
      <c r="K79" s="246"/>
      <c r="L79" s="246"/>
      <c r="N79" s="246">
        <v>65</v>
      </c>
      <c r="O79" s="246">
        <f t="shared" si="0"/>
        <v>32</v>
      </c>
      <c r="P79" s="246">
        <f t="shared" si="1"/>
        <v>36</v>
      </c>
      <c r="Q79" s="246">
        <f t="shared" si="2"/>
        <v>36</v>
      </c>
      <c r="R79" s="246">
        <f t="shared" si="3"/>
        <v>40</v>
      </c>
    </row>
    <row r="80" spans="2:18" s="209" customFormat="1" ht="12" customHeight="1" x14ac:dyDescent="0.2">
      <c r="B80" s="246">
        <v>70</v>
      </c>
      <c r="C80" s="246">
        <v>24</v>
      </c>
      <c r="D80" s="246">
        <v>24</v>
      </c>
      <c r="E80" s="246">
        <v>24</v>
      </c>
      <c r="F80" s="246">
        <v>24</v>
      </c>
      <c r="G80" s="294"/>
      <c r="H80" s="246"/>
      <c r="I80" s="246"/>
      <c r="J80" s="246"/>
      <c r="K80" s="246"/>
      <c r="L80" s="246"/>
      <c r="N80" s="246">
        <v>70</v>
      </c>
      <c r="O80" s="246">
        <f t="shared" si="0"/>
        <v>32</v>
      </c>
      <c r="P80" s="246">
        <f t="shared" si="1"/>
        <v>36</v>
      </c>
      <c r="Q80" s="246">
        <f t="shared" si="2"/>
        <v>36</v>
      </c>
      <c r="R80" s="246">
        <f t="shared" si="3"/>
        <v>40</v>
      </c>
    </row>
    <row r="81" spans="2:18" s="209" customFormat="1" ht="12" customHeight="1" x14ac:dyDescent="0.2">
      <c r="B81" s="246">
        <v>75</v>
      </c>
      <c r="C81" s="246">
        <v>24</v>
      </c>
      <c r="D81" s="246">
        <v>24</v>
      </c>
      <c r="E81" s="246">
        <v>24</v>
      </c>
      <c r="F81" s="246">
        <v>24</v>
      </c>
      <c r="G81" s="294"/>
      <c r="H81" s="246"/>
      <c r="I81" s="246"/>
      <c r="J81" s="246"/>
      <c r="K81" s="246"/>
      <c r="L81" s="246"/>
      <c r="N81" s="246">
        <v>75</v>
      </c>
      <c r="O81" s="246">
        <f t="shared" si="0"/>
        <v>32</v>
      </c>
      <c r="P81" s="246">
        <f t="shared" si="1"/>
        <v>36</v>
      </c>
      <c r="Q81" s="246">
        <f t="shared" si="2"/>
        <v>36</v>
      </c>
      <c r="R81" s="246">
        <f t="shared" si="3"/>
        <v>40</v>
      </c>
    </row>
    <row r="82" spans="2:18" s="209" customFormat="1" ht="12" customHeight="1" x14ac:dyDescent="0.2"/>
    <row r="83" spans="2:18" s="209" customFormat="1" ht="12" customHeight="1" x14ac:dyDescent="0.2"/>
    <row r="84" spans="2:18" s="209" customFormat="1" ht="12" customHeight="1" x14ac:dyDescent="0.2"/>
    <row r="85" spans="2:18" s="209" customFormat="1" ht="12" customHeight="1" x14ac:dyDescent="0.2"/>
    <row r="86" spans="2:18" s="209" customFormat="1" ht="12" customHeight="1" x14ac:dyDescent="0.2"/>
    <row r="87" spans="2:18" s="209" customFormat="1" ht="12" customHeight="1" x14ac:dyDescent="0.2"/>
    <row r="88" spans="2:18" s="209" customFormat="1" ht="12" customHeight="1" x14ac:dyDescent="0.2"/>
  </sheetData>
  <sheetProtection algorithmName="SHA-512" hashValue="a6AbGOzgJUkT3f+5ITGRYTdIVEbcrGKVOAoGM0/mdpDnGd0TOpsnm3FeSg0dZLXbxchMo8oP8IEer/oG/rc5Fw==" saltValue="vj/KvvRas3JlBSW1ewRB5g==" spinCount="100000" sheet="1" selectLockedCells="1"/>
  <mergeCells count="4">
    <mergeCell ref="C32:F32"/>
    <mergeCell ref="K35:O35"/>
    <mergeCell ref="C46:F46"/>
    <mergeCell ref="C2:N4"/>
  </mergeCells>
  <conditionalFormatting sqref="C10 K10">
    <cfRule type="expression" dxfId="31" priority="16" stopIfTrue="1">
      <formula>ISERROR($K$35)</formula>
    </cfRule>
  </conditionalFormatting>
  <conditionalFormatting sqref="H33 D33">
    <cfRule type="expression" dxfId="30" priority="8" stopIfTrue="1">
      <formula>ISERROR($C$80)</formula>
    </cfRule>
  </conditionalFormatting>
  <conditionalFormatting sqref="I33">
    <cfRule type="expression" dxfId="29" priority="7" stopIfTrue="1">
      <formula>ISERROR($N$81)</formula>
    </cfRule>
  </conditionalFormatting>
  <conditionalFormatting sqref="D34">
    <cfRule type="expression" dxfId="28" priority="6" stopIfTrue="1">
      <formula>ISERROR($K$82)</formula>
    </cfRule>
  </conditionalFormatting>
  <conditionalFormatting sqref="J33">
    <cfRule type="expression" dxfId="27" priority="5" stopIfTrue="1">
      <formula>ISERROR($E$127)</formula>
    </cfRule>
  </conditionalFormatting>
  <conditionalFormatting sqref="Q19">
    <cfRule type="expression" dxfId="26" priority="4" stopIfTrue="1">
      <formula>ISERROR($M$6)</formula>
    </cfRule>
  </conditionalFormatting>
  <conditionalFormatting sqref="Q21">
    <cfRule type="expression" dxfId="25" priority="3" stopIfTrue="1">
      <formula>ISERROR($M$8)</formula>
    </cfRule>
  </conditionalFormatting>
  <conditionalFormatting sqref="D47">
    <cfRule type="expression" dxfId="24" priority="2" stopIfTrue="1">
      <formula>ISERROR($C$80)</formula>
    </cfRule>
  </conditionalFormatting>
  <conditionalFormatting sqref="D48">
    <cfRule type="expression" dxfId="23" priority="1" stopIfTrue="1">
      <formula>ISERROR($K$82)</formula>
    </cfRule>
  </conditionalFormatting>
  <conditionalFormatting sqref="K18:K32">
    <cfRule type="expression" dxfId="22" priority="9" stopIfTrue="1">
      <formula>ISERROR($N$68)</formula>
    </cfRule>
  </conditionalFormatting>
  <conditionalFormatting sqref="J18:J32">
    <cfRule type="expression" dxfId="21" priority="10" stopIfTrue="1">
      <formula>ISERROR($K$72)</formula>
    </cfRule>
  </conditionalFormatting>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42"/>
  <sheetViews>
    <sheetView showGridLines="0" zoomScale="75" zoomScaleNormal="75" workbookViewId="0">
      <selection activeCell="I29" sqref="I29"/>
    </sheetView>
  </sheetViews>
  <sheetFormatPr defaultRowHeight="12.75" x14ac:dyDescent="0.2"/>
  <cols>
    <col min="1" max="1" width="7.28515625" style="127" customWidth="1"/>
    <col min="2" max="2" width="5.85546875" style="127" customWidth="1"/>
    <col min="3" max="12" width="9.140625" style="127"/>
    <col min="13" max="13" width="1.28515625" style="127" customWidth="1"/>
    <col min="14" max="16384" width="9.140625" style="127"/>
  </cols>
  <sheetData>
    <row r="2" spans="2:26" ht="13.5" thickBot="1" x14ac:dyDescent="0.25"/>
    <row r="3" spans="2:26" ht="12.75" customHeight="1" x14ac:dyDescent="0.2">
      <c r="B3" s="513" t="s">
        <v>88</v>
      </c>
      <c r="C3" s="514"/>
      <c r="D3" s="514"/>
      <c r="E3" s="514"/>
      <c r="F3" s="514"/>
      <c r="G3" s="514"/>
      <c r="H3" s="514"/>
      <c r="I3" s="514"/>
      <c r="J3" s="514"/>
      <c r="K3" s="514"/>
      <c r="L3" s="515"/>
      <c r="O3" s="61"/>
      <c r="P3" s="62"/>
      <c r="Q3" s="63"/>
      <c r="R3" s="62"/>
      <c r="S3" s="62"/>
      <c r="T3" s="62"/>
      <c r="U3" s="62"/>
      <c r="V3" s="64"/>
      <c r="W3" s="64"/>
      <c r="X3" s="64"/>
      <c r="Y3" s="62"/>
      <c r="Z3" s="65"/>
    </row>
    <row r="4" spans="2:26" ht="12.75" customHeight="1" x14ac:dyDescent="0.2">
      <c r="B4" s="516"/>
      <c r="C4" s="517"/>
      <c r="D4" s="517"/>
      <c r="E4" s="517"/>
      <c r="F4" s="517"/>
      <c r="G4" s="517"/>
      <c r="H4" s="517"/>
      <c r="I4" s="517"/>
      <c r="J4" s="517"/>
      <c r="K4" s="517"/>
      <c r="L4" s="518"/>
      <c r="O4" s="66"/>
      <c r="P4" s="5"/>
      <c r="Q4" s="5"/>
      <c r="R4" s="106" t="s">
        <v>89</v>
      </c>
      <c r="S4" s="1"/>
      <c r="T4" s="5"/>
      <c r="U4" s="5"/>
      <c r="V4" s="5"/>
      <c r="W4" s="5"/>
      <c r="X4" s="5"/>
      <c r="Y4" s="5"/>
      <c r="Z4" s="60"/>
    </row>
    <row r="5" spans="2:26" x14ac:dyDescent="0.2">
      <c r="B5" s="516"/>
      <c r="C5" s="517"/>
      <c r="D5" s="517"/>
      <c r="E5" s="517"/>
      <c r="F5" s="517"/>
      <c r="G5" s="517"/>
      <c r="H5" s="517"/>
      <c r="I5" s="517"/>
      <c r="J5" s="517"/>
      <c r="K5" s="517"/>
      <c r="L5" s="518"/>
      <c r="O5" s="66"/>
      <c r="P5" s="5"/>
      <c r="Q5" s="5"/>
      <c r="R5" s="5"/>
      <c r="S5" s="5"/>
      <c r="T5" s="5"/>
      <c r="U5" s="5"/>
      <c r="V5" s="5"/>
      <c r="W5" s="5"/>
      <c r="X5" s="1"/>
      <c r="Y5" s="12" t="s">
        <v>48</v>
      </c>
      <c r="Z5" s="60"/>
    </row>
    <row r="6" spans="2:26" x14ac:dyDescent="0.2">
      <c r="B6" s="89"/>
      <c r="C6" s="25"/>
      <c r="D6" s="25"/>
      <c r="E6" s="25"/>
      <c r="F6" s="58"/>
      <c r="G6" s="25"/>
      <c r="H6" s="25"/>
      <c r="I6" s="8"/>
      <c r="J6" s="38"/>
      <c r="K6" s="38"/>
      <c r="L6" s="91"/>
      <c r="O6" s="66"/>
      <c r="P6" s="5"/>
      <c r="Q6" s="107" t="s">
        <v>90</v>
      </c>
      <c r="R6" s="5"/>
      <c r="S6" s="5"/>
      <c r="T6" s="5"/>
      <c r="U6" s="5"/>
      <c r="V6" s="5"/>
      <c r="W6" s="14"/>
      <c r="X6" s="1"/>
      <c r="Y6" s="10" t="e">
        <f>#REF!</f>
        <v>#REF!</v>
      </c>
      <c r="Z6" s="59"/>
    </row>
    <row r="7" spans="2:26" x14ac:dyDescent="0.2">
      <c r="B7" s="121" t="s">
        <v>104</v>
      </c>
      <c r="C7" s="25"/>
      <c r="D7" s="25"/>
      <c r="E7" s="25"/>
      <c r="F7" s="25"/>
      <c r="G7" s="99"/>
      <c r="H7" s="99"/>
      <c r="I7" s="25"/>
      <c r="J7" s="25"/>
      <c r="K7" s="38"/>
      <c r="L7" s="91"/>
      <c r="O7" s="66"/>
      <c r="P7" s="5"/>
      <c r="Q7" s="30" t="s">
        <v>49</v>
      </c>
      <c r="R7" s="5"/>
      <c r="S7" s="5"/>
      <c r="T7" s="5"/>
      <c r="U7" s="5"/>
      <c r="V7" s="5"/>
      <c r="W7" s="14"/>
      <c r="X7" s="5"/>
      <c r="Y7" s="5"/>
      <c r="Z7" s="59"/>
    </row>
    <row r="8" spans="2:26" x14ac:dyDescent="0.2">
      <c r="B8" s="122">
        <v>1</v>
      </c>
      <c r="C8" s="100" t="s">
        <v>83</v>
      </c>
      <c r="D8" s="25"/>
      <c r="E8" s="25"/>
      <c r="F8" s="25"/>
      <c r="G8" s="25"/>
      <c r="H8" s="25"/>
      <c r="I8" s="25"/>
      <c r="J8" s="25"/>
      <c r="K8" s="8"/>
      <c r="L8" s="91"/>
      <c r="O8" s="66"/>
      <c r="P8" s="11" t="s">
        <v>50</v>
      </c>
      <c r="Q8" s="14"/>
      <c r="R8" s="14"/>
      <c r="S8" s="5" t="s">
        <v>81</v>
      </c>
      <c r="T8" s="14"/>
      <c r="U8" s="14"/>
      <c r="V8" s="14"/>
      <c r="W8" s="14"/>
      <c r="X8" s="5"/>
      <c r="Y8" s="5"/>
      <c r="Z8" s="59"/>
    </row>
    <row r="9" spans="2:26" x14ac:dyDescent="0.2">
      <c r="B9" s="89"/>
      <c r="C9" s="25"/>
      <c r="D9" s="25"/>
      <c r="E9" s="25"/>
      <c r="F9" s="25"/>
      <c r="G9" s="25"/>
      <c r="H9" s="25"/>
      <c r="I9" s="25"/>
      <c r="J9" s="25"/>
      <c r="K9" s="8"/>
      <c r="L9" s="91"/>
      <c r="O9" s="66"/>
      <c r="P9" s="5"/>
      <c r="Q9" s="5"/>
      <c r="R9" s="5"/>
      <c r="S9" s="5"/>
      <c r="T9" s="5"/>
      <c r="U9" s="30"/>
      <c r="V9" s="5"/>
      <c r="W9" s="19" t="s">
        <v>0</v>
      </c>
      <c r="X9" s="5"/>
      <c r="Y9" s="5"/>
      <c r="Z9" s="59"/>
    </row>
    <row r="10" spans="2:26" x14ac:dyDescent="0.2">
      <c r="B10" s="89"/>
      <c r="C10" s="88"/>
      <c r="D10" s="97" t="s">
        <v>93</v>
      </c>
      <c r="E10" s="25"/>
      <c r="F10" s="25"/>
      <c r="G10" s="25"/>
      <c r="H10" s="25"/>
      <c r="I10" s="25"/>
      <c r="J10" s="25"/>
      <c r="K10" s="8"/>
      <c r="L10" s="91"/>
      <c r="O10" s="66"/>
      <c r="P10" s="12"/>
      <c r="Q10" s="21" t="s">
        <v>51</v>
      </c>
      <c r="R10" s="5"/>
      <c r="S10" s="5"/>
      <c r="T10" s="5"/>
      <c r="U10" s="21"/>
      <c r="V10" s="5"/>
      <c r="W10" s="32" t="s">
        <v>1</v>
      </c>
      <c r="X10" s="5"/>
      <c r="Y10" s="5"/>
      <c r="Z10" s="59"/>
    </row>
    <row r="11" spans="2:26" x14ac:dyDescent="0.2">
      <c r="B11" s="89"/>
      <c r="C11" s="25"/>
      <c r="D11" s="25"/>
      <c r="E11" s="25"/>
      <c r="F11" s="25"/>
      <c r="G11" s="25"/>
      <c r="H11" s="25"/>
      <c r="I11" s="25"/>
      <c r="J11" s="25"/>
      <c r="K11" s="8"/>
      <c r="L11" s="91"/>
      <c r="O11" s="66"/>
      <c r="P11" s="12"/>
      <c r="Q11" s="5"/>
      <c r="R11" s="5"/>
      <c r="S11" s="5"/>
      <c r="T11" s="5"/>
      <c r="U11" s="10"/>
      <c r="V11" s="5"/>
      <c r="W11" s="19"/>
      <c r="X11" s="5"/>
      <c r="Y11" s="5"/>
      <c r="Z11" s="59"/>
    </row>
    <row r="12" spans="2:26" ht="12.75" customHeight="1" x14ac:dyDescent="0.2">
      <c r="B12" s="89"/>
      <c r="C12" s="22">
        <f>'TRAFFIC &amp; ACCIDENTS'!D12</f>
        <v>0</v>
      </c>
      <c r="D12" s="25" t="s">
        <v>52</v>
      </c>
      <c r="E12" s="25"/>
      <c r="F12" s="25"/>
      <c r="G12" s="510" t="s">
        <v>94</v>
      </c>
      <c r="H12" s="511"/>
      <c r="I12" s="6"/>
      <c r="J12" s="2"/>
      <c r="K12" s="120"/>
      <c r="L12" s="31"/>
      <c r="O12" s="66"/>
      <c r="P12" s="67">
        <v>1</v>
      </c>
      <c r="Q12" s="5" t="s">
        <v>53</v>
      </c>
      <c r="R12" s="5"/>
      <c r="S12" s="5"/>
      <c r="T12" s="5"/>
      <c r="U12" s="5"/>
      <c r="V12" s="5"/>
      <c r="W12" s="19">
        <v>15</v>
      </c>
      <c r="X12" s="5"/>
      <c r="Y12" s="5"/>
      <c r="Z12" s="59"/>
    </row>
    <row r="13" spans="2:26" ht="12.75" customHeight="1" x14ac:dyDescent="0.2">
      <c r="B13" s="89"/>
      <c r="C13" s="25"/>
      <c r="D13" s="25"/>
      <c r="E13" s="25"/>
      <c r="F13" s="25"/>
      <c r="G13" s="511"/>
      <c r="H13" s="511"/>
      <c r="I13" s="509" t="s">
        <v>110</v>
      </c>
      <c r="J13" s="509"/>
      <c r="K13" s="176" t="s">
        <v>116</v>
      </c>
      <c r="L13" s="125"/>
      <c r="O13" s="66"/>
      <c r="P13" s="67"/>
      <c r="Q13" s="5"/>
      <c r="R13" s="5" t="s">
        <v>54</v>
      </c>
      <c r="S13" s="5"/>
      <c r="T13" s="5"/>
      <c r="U13" s="10"/>
      <c r="V13" s="5"/>
      <c r="W13" s="19"/>
      <c r="X13" s="5"/>
      <c r="Y13" s="5"/>
      <c r="Z13" s="59"/>
    </row>
    <row r="14" spans="2:26" x14ac:dyDescent="0.2">
      <c r="B14" s="89"/>
      <c r="C14" s="24">
        <f>IF('2R SUMMARY'!F7=0,0,C10/C12)</f>
        <v>0</v>
      </c>
      <c r="D14" s="97" t="s">
        <v>150</v>
      </c>
      <c r="E14" s="103">
        <f>C14*15</f>
        <v>0</v>
      </c>
      <c r="F14" s="25" t="s">
        <v>55</v>
      </c>
      <c r="G14" s="511"/>
      <c r="H14" s="511"/>
      <c r="I14" s="509"/>
      <c r="J14" s="509"/>
      <c r="K14" s="23"/>
      <c r="L14" s="31"/>
      <c r="O14" s="66"/>
      <c r="P14" s="67"/>
      <c r="Q14" s="5"/>
      <c r="R14" s="5" t="s">
        <v>56</v>
      </c>
      <c r="S14" s="5"/>
      <c r="T14" s="5"/>
      <c r="U14" s="10"/>
      <c r="V14" s="5"/>
      <c r="W14" s="19"/>
      <c r="X14" s="5"/>
      <c r="Y14" s="25"/>
      <c r="Z14" s="68"/>
    </row>
    <row r="15" spans="2:26" x14ac:dyDescent="0.2">
      <c r="B15" s="89"/>
      <c r="C15" s="26"/>
      <c r="D15" s="25"/>
      <c r="E15" s="25"/>
      <c r="F15" s="25"/>
      <c r="G15" s="25"/>
      <c r="H15" s="25"/>
      <c r="I15" s="101"/>
      <c r="J15" s="102"/>
      <c r="K15" s="23"/>
      <c r="L15" s="31"/>
      <c r="O15" s="66"/>
      <c r="P15" s="67"/>
      <c r="Q15" s="18" t="s">
        <v>101</v>
      </c>
      <c r="R15" s="5"/>
      <c r="S15" s="5"/>
      <c r="T15" s="5"/>
      <c r="U15" s="10"/>
      <c r="V15" s="5"/>
      <c r="W15" s="19"/>
      <c r="X15" s="5"/>
      <c r="Y15" s="25"/>
      <c r="Z15" s="69"/>
    </row>
    <row r="16" spans="2:26" ht="12.75" customHeight="1" x14ac:dyDescent="0.2">
      <c r="B16" s="89"/>
      <c r="C16" s="25"/>
      <c r="D16" s="25"/>
      <c r="E16" s="25"/>
      <c r="F16" s="25"/>
      <c r="G16" s="25"/>
      <c r="H16" s="519" t="s">
        <v>96</v>
      </c>
      <c r="I16" s="519"/>
      <c r="J16" s="519"/>
      <c r="K16" s="519"/>
      <c r="L16" s="31"/>
      <c r="O16" s="66"/>
      <c r="P16" s="67"/>
      <c r="Q16" s="5"/>
      <c r="R16" s="5"/>
      <c r="S16" s="5"/>
      <c r="T16" s="5"/>
      <c r="U16" s="10"/>
      <c r="V16" s="5"/>
      <c r="W16" s="19"/>
      <c r="X16" s="5"/>
      <c r="Y16" s="8"/>
      <c r="Z16" s="70"/>
    </row>
    <row r="17" spans="2:26" x14ac:dyDescent="0.2">
      <c r="B17" s="122">
        <v>2</v>
      </c>
      <c r="C17" s="100" t="s">
        <v>57</v>
      </c>
      <c r="D17" s="25"/>
      <c r="E17" s="25"/>
      <c r="F17" s="25"/>
      <c r="G17" s="25"/>
      <c r="H17" s="519"/>
      <c r="I17" s="519"/>
      <c r="J17" s="519"/>
      <c r="K17" s="519"/>
      <c r="L17" s="31"/>
      <c r="O17" s="66"/>
      <c r="P17" s="67"/>
      <c r="Q17" s="5"/>
      <c r="R17" s="5"/>
      <c r="S17" s="5"/>
      <c r="T17" s="5"/>
      <c r="U17" s="10"/>
      <c r="V17" s="5"/>
      <c r="W17" s="19"/>
      <c r="X17" s="5"/>
      <c r="Y17" s="8"/>
      <c r="Z17" s="70"/>
    </row>
    <row r="18" spans="2:26" x14ac:dyDescent="0.2">
      <c r="B18" s="89"/>
      <c r="C18" s="25"/>
      <c r="D18" s="25"/>
      <c r="E18" s="25"/>
      <c r="F18" s="25"/>
      <c r="G18" s="25"/>
      <c r="H18" s="519"/>
      <c r="I18" s="519"/>
      <c r="J18" s="519"/>
      <c r="K18" s="519"/>
      <c r="L18" s="91"/>
      <c r="O18" s="66"/>
      <c r="P18" s="67">
        <v>2</v>
      </c>
      <c r="Q18" s="5" t="s">
        <v>45</v>
      </c>
      <c r="R18" s="5"/>
      <c r="S18" s="5"/>
      <c r="T18" s="5"/>
      <c r="U18" s="5"/>
      <c r="V18" s="5"/>
      <c r="W18" s="19">
        <v>5</v>
      </c>
      <c r="X18" s="5"/>
      <c r="Y18" s="25"/>
      <c r="Z18" s="71"/>
    </row>
    <row r="19" spans="2:26" x14ac:dyDescent="0.2">
      <c r="B19" s="89"/>
      <c r="C19" s="148"/>
      <c r="D19" s="25" t="s">
        <v>58</v>
      </c>
      <c r="E19" s="25"/>
      <c r="F19" s="25"/>
      <c r="G19" s="25"/>
      <c r="H19" s="25"/>
      <c r="I19" s="25"/>
      <c r="J19" s="25"/>
      <c r="K19" s="25"/>
      <c r="L19" s="91"/>
      <c r="O19" s="66"/>
      <c r="P19" s="67"/>
      <c r="Q19" s="5"/>
      <c r="R19" s="5" t="s">
        <v>59</v>
      </c>
      <c r="S19" s="5"/>
      <c r="T19" s="5"/>
      <c r="U19" s="10"/>
      <c r="V19" s="5"/>
      <c r="W19" s="19"/>
      <c r="X19" s="5"/>
      <c r="Y19" s="25"/>
      <c r="Z19" s="71"/>
    </row>
    <row r="20" spans="2:26" x14ac:dyDescent="0.2">
      <c r="B20" s="89"/>
      <c r="C20" s="8"/>
      <c r="D20" s="25"/>
      <c r="E20" s="25"/>
      <c r="F20" s="25"/>
      <c r="G20" s="25"/>
      <c r="H20" s="25"/>
      <c r="I20" s="25"/>
      <c r="J20" s="25"/>
      <c r="K20" s="25"/>
      <c r="L20" s="91"/>
      <c r="O20" s="66"/>
      <c r="P20" s="67"/>
      <c r="Q20" s="5"/>
      <c r="R20" s="5" t="s">
        <v>60</v>
      </c>
      <c r="S20" s="5"/>
      <c r="T20" s="5"/>
      <c r="U20" s="10"/>
      <c r="V20" s="5"/>
      <c r="W20" s="19"/>
      <c r="X20" s="5"/>
      <c r="Y20" s="8"/>
      <c r="Z20" s="72"/>
    </row>
    <row r="21" spans="2:26" x14ac:dyDescent="0.2">
      <c r="B21" s="89"/>
      <c r="C21" s="8"/>
      <c r="D21" s="25"/>
      <c r="E21" s="25"/>
      <c r="F21" s="25"/>
      <c r="G21" s="25"/>
      <c r="H21" s="25"/>
      <c r="I21" s="25"/>
      <c r="J21" s="25"/>
      <c r="K21" s="25"/>
      <c r="L21" s="91"/>
      <c r="O21" s="66"/>
      <c r="P21" s="67"/>
      <c r="Q21" s="5"/>
      <c r="R21" s="5" t="s">
        <v>61</v>
      </c>
      <c r="S21" s="5"/>
      <c r="T21" s="5"/>
      <c r="U21" s="10"/>
      <c r="V21" s="5"/>
      <c r="W21" s="19"/>
      <c r="X21" s="12"/>
      <c r="Y21" s="8"/>
      <c r="Z21" s="72"/>
    </row>
    <row r="22" spans="2:26" x14ac:dyDescent="0.2">
      <c r="B22" s="122">
        <v>3</v>
      </c>
      <c r="C22" s="100" t="s">
        <v>87</v>
      </c>
      <c r="D22" s="25"/>
      <c r="E22" s="25"/>
      <c r="F22" s="25"/>
      <c r="G22" s="25"/>
      <c r="H22" s="25"/>
      <c r="I22" s="25"/>
      <c r="J22" s="25"/>
      <c r="K22" s="25"/>
      <c r="L22" s="91"/>
      <c r="O22" s="66"/>
      <c r="P22" s="5"/>
      <c r="Q22" s="5"/>
      <c r="R22" s="5"/>
      <c r="S22" s="5"/>
      <c r="T22" s="5"/>
      <c r="U22" s="5"/>
      <c r="V22" s="5"/>
      <c r="W22" s="5"/>
      <c r="X22" s="5"/>
      <c r="Y22" s="5"/>
      <c r="Z22" s="59"/>
    </row>
    <row r="23" spans="2:26" x14ac:dyDescent="0.2">
      <c r="B23" s="122"/>
      <c r="C23" s="100"/>
      <c r="D23" s="25"/>
      <c r="E23" s="25"/>
      <c r="F23" s="25"/>
      <c r="G23" s="25"/>
      <c r="H23" s="25"/>
      <c r="I23" s="25"/>
      <c r="J23" s="25"/>
      <c r="K23" s="25"/>
      <c r="L23" s="91"/>
      <c r="O23" s="66"/>
      <c r="P23" s="67">
        <v>3</v>
      </c>
      <c r="Q23" s="5" t="s">
        <v>62</v>
      </c>
      <c r="R23" s="5"/>
      <c r="S23" s="5"/>
      <c r="T23" s="5"/>
      <c r="U23" s="10"/>
      <c r="V23" s="5"/>
      <c r="W23" s="19">
        <v>10</v>
      </c>
      <c r="X23" s="5"/>
      <c r="Y23" s="5"/>
      <c r="Z23" s="59"/>
    </row>
    <row r="24" spans="2:26" x14ac:dyDescent="0.2">
      <c r="B24" s="122"/>
      <c r="C24" s="100"/>
      <c r="D24" s="148"/>
      <c r="E24" s="25" t="s">
        <v>78</v>
      </c>
      <c r="F24" s="25"/>
      <c r="G24" s="25"/>
      <c r="H24" s="25"/>
      <c r="I24" s="25"/>
      <c r="J24" s="25"/>
      <c r="K24" s="25"/>
      <c r="L24" s="91"/>
      <c r="O24" s="66"/>
      <c r="P24" s="67"/>
      <c r="Q24" s="12" t="s">
        <v>64</v>
      </c>
      <c r="R24" s="5" t="s">
        <v>65</v>
      </c>
      <c r="S24" s="5"/>
      <c r="T24" s="5"/>
      <c r="U24" s="5"/>
      <c r="V24" s="5"/>
      <c r="W24" s="5"/>
      <c r="X24" s="5"/>
      <c r="Y24" s="5"/>
      <c r="Z24" s="59"/>
    </row>
    <row r="25" spans="2:26" x14ac:dyDescent="0.2">
      <c r="B25" s="122"/>
      <c r="C25" s="100"/>
      <c r="D25" s="22" t="e">
        <f>D24/'TRAFFIC &amp; ACCIDENTS'!D12</f>
        <v>#DIV/0!</v>
      </c>
      <c r="E25" s="25" t="s">
        <v>63</v>
      </c>
      <c r="F25" s="25"/>
      <c r="G25" s="104"/>
      <c r="H25" s="104"/>
      <c r="I25" s="25"/>
      <c r="J25" s="25"/>
      <c r="K25" s="25"/>
      <c r="L25" s="91"/>
      <c r="O25" s="66"/>
      <c r="P25" s="67"/>
      <c r="Q25" s="5"/>
      <c r="R25" s="73" t="s">
        <v>66</v>
      </c>
      <c r="S25" s="5"/>
      <c r="T25" s="5"/>
      <c r="U25" s="5"/>
      <c r="V25" s="5"/>
      <c r="W25" s="5"/>
      <c r="X25" s="5"/>
      <c r="Y25" s="5"/>
      <c r="Z25" s="59"/>
    </row>
    <row r="26" spans="2:26" x14ac:dyDescent="0.2">
      <c r="B26" s="122"/>
      <c r="C26" s="100"/>
      <c r="D26" s="25"/>
      <c r="E26" s="25"/>
      <c r="F26" s="25"/>
      <c r="G26" s="25"/>
      <c r="H26" s="25"/>
      <c r="I26" s="25"/>
      <c r="J26" s="25"/>
      <c r="K26" s="25"/>
      <c r="L26" s="91"/>
      <c r="O26" s="66"/>
      <c r="P26" s="67"/>
      <c r="Q26" s="5"/>
      <c r="R26" s="73" t="s">
        <v>69</v>
      </c>
      <c r="S26" s="5"/>
      <c r="T26" s="5"/>
      <c r="U26" s="5"/>
      <c r="V26" s="5"/>
      <c r="W26" s="19"/>
      <c r="X26" s="5"/>
      <c r="Y26" s="5"/>
      <c r="Z26" s="59"/>
    </row>
    <row r="27" spans="2:26" x14ac:dyDescent="0.2">
      <c r="B27" s="89"/>
      <c r="C27" s="25"/>
      <c r="D27" s="27"/>
      <c r="E27" s="25"/>
      <c r="F27" s="27" t="s">
        <v>67</v>
      </c>
      <c r="G27" s="25"/>
      <c r="H27" s="25"/>
      <c r="I27" s="25" t="s">
        <v>68</v>
      </c>
      <c r="J27" s="25"/>
      <c r="K27" s="25"/>
      <c r="L27" s="91"/>
      <c r="O27" s="66"/>
      <c r="P27" s="67"/>
      <c r="Q27" s="5"/>
      <c r="R27" s="74" t="s">
        <v>80</v>
      </c>
      <c r="S27" s="5"/>
      <c r="T27" s="5"/>
      <c r="U27" s="5"/>
      <c r="V27" s="10"/>
      <c r="W27" s="28"/>
      <c r="X27" s="8"/>
      <c r="Y27" s="25"/>
      <c r="Z27" s="71"/>
    </row>
    <row r="28" spans="2:26" x14ac:dyDescent="0.2">
      <c r="B28" s="89"/>
      <c r="C28" s="512"/>
      <c r="D28" s="7" t="e">
        <f>IF(AND(D25&gt;1,D25&lt;5),"X","")</f>
        <v>#DIV/0!</v>
      </c>
      <c r="E28" s="41" t="s">
        <v>70</v>
      </c>
      <c r="F28" s="123" t="e">
        <f>IF(D28&lt;&gt;"",2,"")</f>
        <v>#DIV/0!</v>
      </c>
      <c r="G28" s="149" t="e">
        <f>IF(F28="","",1)</f>
        <v>#DIV/0!</v>
      </c>
      <c r="H28" s="40"/>
      <c r="I28" s="25" t="s">
        <v>71</v>
      </c>
      <c r="J28" s="25"/>
      <c r="K28" s="25"/>
      <c r="L28" s="91"/>
      <c r="O28" s="66"/>
      <c r="P28" s="67"/>
      <c r="Q28" s="5"/>
      <c r="R28" s="5"/>
      <c r="S28" s="5"/>
      <c r="T28" s="5"/>
      <c r="U28" s="5"/>
      <c r="V28" s="10"/>
      <c r="W28" s="25"/>
      <c r="X28" s="8"/>
      <c r="Y28" s="25"/>
      <c r="Z28" s="71"/>
    </row>
    <row r="29" spans="2:26" x14ac:dyDescent="0.2">
      <c r="B29" s="89"/>
      <c r="C29" s="512"/>
      <c r="D29" s="7" t="e">
        <f>IF(AND(D25&gt;=5,D25&lt;=10),"X","")</f>
        <v>#DIV/0!</v>
      </c>
      <c r="E29" s="41" t="s">
        <v>72</v>
      </c>
      <c r="F29" s="123" t="e">
        <f>IF(D29&lt;&gt;"",3.5,"")</f>
        <v>#DIV/0!</v>
      </c>
      <c r="G29" s="149" t="e">
        <f>IF(F29="","",1)</f>
        <v>#DIV/0!</v>
      </c>
      <c r="H29" s="40"/>
      <c r="I29" s="148"/>
      <c r="J29" s="25"/>
      <c r="K29" s="25" t="s">
        <v>3</v>
      </c>
      <c r="L29" s="91"/>
      <c r="O29" s="66"/>
      <c r="P29" s="67"/>
      <c r="Q29" s="5"/>
      <c r="R29" s="5"/>
      <c r="S29" s="5"/>
      <c r="T29" s="5"/>
      <c r="U29" s="5"/>
      <c r="V29" s="5"/>
      <c r="W29" s="19"/>
      <c r="X29" s="5"/>
      <c r="Y29" s="5"/>
      <c r="Z29" s="59"/>
    </row>
    <row r="30" spans="2:26" x14ac:dyDescent="0.2">
      <c r="B30" s="89"/>
      <c r="C30" s="512"/>
      <c r="D30" s="7" t="e">
        <f>IF(D25&gt;10,"X","")</f>
        <v>#DIV/0!</v>
      </c>
      <c r="E30" s="41" t="s">
        <v>73</v>
      </c>
      <c r="F30" s="124" t="e">
        <f>IF(D30&lt;&gt;"",5,"")</f>
        <v>#DIV/0!</v>
      </c>
      <c r="G30" s="149" t="e">
        <f>IF(F30="","",1)</f>
        <v>#DIV/0!</v>
      </c>
      <c r="H30" s="40"/>
      <c r="I30" s="29"/>
      <c r="J30" s="8"/>
      <c r="K30" s="8" t="s">
        <v>65</v>
      </c>
      <c r="L30" s="91"/>
      <c r="O30" s="66"/>
      <c r="P30" s="67">
        <v>4</v>
      </c>
      <c r="Q30" s="5" t="s">
        <v>46</v>
      </c>
      <c r="R30" s="15"/>
      <c r="S30" s="10"/>
      <c r="T30" s="5"/>
      <c r="U30" s="10"/>
      <c r="V30" s="5"/>
      <c r="W30" s="19">
        <v>5</v>
      </c>
      <c r="X30" s="5"/>
      <c r="Y30" s="5"/>
      <c r="Z30" s="59"/>
    </row>
    <row r="31" spans="2:26" x14ac:dyDescent="0.2">
      <c r="B31" s="89"/>
      <c r="C31" s="25"/>
      <c r="D31" s="8"/>
      <c r="E31" s="25"/>
      <c r="F31" s="8" t="e">
        <f>IF(G31&gt;1,0,SUM(F28:F30))</f>
        <v>#DIV/0!</v>
      </c>
      <c r="G31" s="149" t="e">
        <f>SUM(G28:G30)</f>
        <v>#DIV/0!</v>
      </c>
      <c r="H31" s="40"/>
      <c r="I31" s="8">
        <f>IF(I29&gt;2,2,I29)</f>
        <v>0</v>
      </c>
      <c r="J31" s="25"/>
      <c r="K31" s="7" t="e">
        <f>IF(SUM(F31,I31)&gt;5,10,SUM(F31,I31))</f>
        <v>#DIV/0!</v>
      </c>
      <c r="L31" s="96"/>
      <c r="O31" s="66"/>
      <c r="P31" s="12"/>
      <c r="Q31" s="5"/>
      <c r="R31" s="5" t="s">
        <v>75</v>
      </c>
      <c r="S31" s="10"/>
      <c r="T31" s="5"/>
      <c r="U31" s="10"/>
      <c r="V31" s="5"/>
      <c r="W31" s="19"/>
      <c r="X31" s="5"/>
      <c r="Y31" s="25"/>
      <c r="Z31" s="71"/>
    </row>
    <row r="32" spans="2:26" x14ac:dyDescent="0.2">
      <c r="B32" s="89"/>
      <c r="C32" s="25"/>
      <c r="D32" s="25"/>
      <c r="E32" s="25"/>
      <c r="F32" s="25"/>
      <c r="G32" s="8"/>
      <c r="H32" s="8"/>
      <c r="I32" s="8"/>
      <c r="J32" s="25"/>
      <c r="K32" s="8"/>
      <c r="L32" s="34"/>
      <c r="O32" s="66"/>
      <c r="P32" s="12"/>
      <c r="Q32" s="5"/>
      <c r="R32" s="5" t="s">
        <v>77</v>
      </c>
      <c r="S32" s="10"/>
      <c r="T32" s="5"/>
      <c r="U32" s="10"/>
      <c r="V32" s="5"/>
      <c r="W32" s="5"/>
      <c r="X32" s="5"/>
      <c r="Y32" s="25"/>
      <c r="Z32" s="71"/>
    </row>
    <row r="33" spans="2:26" x14ac:dyDescent="0.2">
      <c r="B33" s="122">
        <v>4</v>
      </c>
      <c r="C33" s="100" t="s">
        <v>74</v>
      </c>
      <c r="D33" s="25"/>
      <c r="E33" s="25"/>
      <c r="F33" s="25"/>
      <c r="G33" s="8"/>
      <c r="H33" s="8"/>
      <c r="I33" s="8"/>
      <c r="J33" s="25"/>
      <c r="K33" s="8"/>
      <c r="L33" s="34"/>
      <c r="O33" s="66"/>
      <c r="P33" s="5"/>
      <c r="Q33" s="14"/>
      <c r="R33" s="5"/>
      <c r="S33" s="14"/>
      <c r="T33" s="14"/>
      <c r="U33" s="14"/>
      <c r="V33" s="14"/>
      <c r="W33" s="14"/>
      <c r="X33" s="5"/>
      <c r="Y33" s="25"/>
      <c r="Z33" s="71"/>
    </row>
    <row r="34" spans="2:26" x14ac:dyDescent="0.2">
      <c r="B34" s="122"/>
      <c r="C34" s="100"/>
      <c r="D34" s="25"/>
      <c r="E34" s="25"/>
      <c r="F34" s="25"/>
      <c r="G34" s="8"/>
      <c r="H34" s="8"/>
      <c r="I34" s="8"/>
      <c r="J34" s="25"/>
      <c r="K34" s="8"/>
      <c r="L34" s="34"/>
      <c r="O34" s="66"/>
      <c r="P34" s="5"/>
      <c r="Q34" s="14"/>
      <c r="R34" s="14"/>
      <c r="S34" s="14"/>
      <c r="T34" s="14"/>
      <c r="U34" s="14"/>
      <c r="V34" s="14"/>
      <c r="W34" s="19"/>
      <c r="X34" s="5"/>
      <c r="Y34" s="5"/>
      <c r="Z34" s="59"/>
    </row>
    <row r="35" spans="2:26" x14ac:dyDescent="0.2">
      <c r="B35" s="89"/>
      <c r="C35" s="87"/>
      <c r="D35" s="25" t="s">
        <v>76</v>
      </c>
      <c r="E35" s="25"/>
      <c r="F35" s="25"/>
      <c r="G35" s="8"/>
      <c r="H35" s="8"/>
      <c r="I35" s="8"/>
      <c r="J35" s="25"/>
      <c r="K35" s="8"/>
      <c r="L35" s="34"/>
      <c r="O35" s="66"/>
      <c r="P35" s="12"/>
      <c r="Q35" s="5"/>
      <c r="R35" s="5"/>
      <c r="S35" s="5"/>
      <c r="T35" s="5"/>
      <c r="U35" s="10"/>
      <c r="V35" s="5"/>
      <c r="W35" s="19"/>
      <c r="X35" s="5"/>
      <c r="Y35" s="5"/>
      <c r="Z35" s="59"/>
    </row>
    <row r="36" spans="2:26" ht="13.5" thickBot="1" x14ac:dyDescent="0.25">
      <c r="B36" s="98"/>
      <c r="C36" s="39"/>
      <c r="D36" s="42"/>
      <c r="E36" s="42"/>
      <c r="F36" s="42"/>
      <c r="G36" s="39"/>
      <c r="H36" s="39"/>
      <c r="I36" s="39"/>
      <c r="J36" s="42"/>
      <c r="K36" s="39"/>
      <c r="L36" s="105"/>
      <c r="O36" s="130"/>
      <c r="P36" s="131"/>
      <c r="Q36" s="131"/>
      <c r="R36" s="131"/>
      <c r="S36" s="131"/>
      <c r="T36" s="131"/>
      <c r="U36" s="131"/>
      <c r="V36" s="131"/>
      <c r="W36" s="131"/>
      <c r="X36" s="131"/>
      <c r="Y36" s="131"/>
      <c r="Z36" s="132"/>
    </row>
    <row r="40" spans="2:26" x14ac:dyDescent="0.2">
      <c r="C40" s="128"/>
    </row>
    <row r="41" spans="2:26" x14ac:dyDescent="0.2">
      <c r="C41" s="128"/>
    </row>
    <row r="42" spans="2:26" x14ac:dyDescent="0.2">
      <c r="C42" s="129"/>
      <c r="D42" s="128"/>
    </row>
  </sheetData>
  <sheetProtection password="EC65" sheet="1" selectLockedCells="1"/>
  <mergeCells count="5">
    <mergeCell ref="I13:J14"/>
    <mergeCell ref="G12:H14"/>
    <mergeCell ref="C28:C30"/>
    <mergeCell ref="B3:L5"/>
    <mergeCell ref="H16:K18"/>
  </mergeCells>
  <conditionalFormatting sqref="D28">
    <cfRule type="expression" dxfId="20" priority="15" stopIfTrue="1">
      <formula>ISERROR(D25)</formula>
    </cfRule>
  </conditionalFormatting>
  <conditionalFormatting sqref="D29">
    <cfRule type="expression" dxfId="19" priority="14" stopIfTrue="1">
      <formula>ISERROR(D25)</formula>
    </cfRule>
  </conditionalFormatting>
  <conditionalFormatting sqref="D30">
    <cfRule type="expression" dxfId="18" priority="13" stopIfTrue="1">
      <formula>ISERROR(D25)</formula>
    </cfRule>
  </conditionalFormatting>
  <conditionalFormatting sqref="F28">
    <cfRule type="expression" dxfId="17" priority="12" stopIfTrue="1">
      <formula>ISERROR(D25)</formula>
    </cfRule>
  </conditionalFormatting>
  <conditionalFormatting sqref="F29">
    <cfRule type="expression" dxfId="16" priority="11" stopIfTrue="1">
      <formula>ISERROR(D25)</formula>
    </cfRule>
  </conditionalFormatting>
  <conditionalFormatting sqref="F30">
    <cfRule type="expression" dxfId="15" priority="10" stopIfTrue="1">
      <formula>ISERROR(D25)</formula>
    </cfRule>
  </conditionalFormatting>
  <conditionalFormatting sqref="F31">
    <cfRule type="expression" dxfId="14" priority="9" stopIfTrue="1">
      <formula>ISERROR(D25)</formula>
    </cfRule>
  </conditionalFormatting>
  <conditionalFormatting sqref="K31">
    <cfRule type="expression" dxfId="13" priority="8" stopIfTrue="1">
      <formula>ISERROR(D25)</formula>
    </cfRule>
  </conditionalFormatting>
  <conditionalFormatting sqref="C14 E14">
    <cfRule type="expression" dxfId="12" priority="7" stopIfTrue="1">
      <formula>ISERROR($C$66)</formula>
    </cfRule>
  </conditionalFormatting>
  <conditionalFormatting sqref="D25">
    <cfRule type="expression" dxfId="11" priority="6" stopIfTrue="1">
      <formula>ISERROR(D25)</formula>
    </cfRule>
  </conditionalFormatting>
  <conditionalFormatting sqref="D28">
    <cfRule type="expression" dxfId="10" priority="4" stopIfTrue="1">
      <formula>ISERROR(D25)</formula>
    </cfRule>
  </conditionalFormatting>
  <conditionalFormatting sqref="D29">
    <cfRule type="expression" dxfId="9" priority="3" stopIfTrue="1">
      <formula>ISERROR(D25)</formula>
    </cfRule>
  </conditionalFormatting>
  <conditionalFormatting sqref="D30">
    <cfRule type="expression" dxfId="8" priority="2" stopIfTrue="1">
      <formula>ISERROR(D25)</formula>
    </cfRule>
  </conditionalFormatting>
  <conditionalFormatting sqref="D40">
    <cfRule type="expression" dxfId="7" priority="19" stopIfTrue="1">
      <formula>ISERROR($K$5)</formula>
    </cfRule>
  </conditionalFormatting>
  <conditionalFormatting sqref="C42">
    <cfRule type="expression" dxfId="6" priority="20" stopIfTrue="1">
      <formula>ISERROR($K$7)</formula>
    </cfRule>
  </conditionalFormatting>
  <pageMargins left="0.31" right="0.36"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39"/>
  <sheetViews>
    <sheetView showGridLines="0" workbookViewId="0">
      <selection activeCell="D26" sqref="D26"/>
    </sheetView>
  </sheetViews>
  <sheetFormatPr defaultColWidth="0" defaultRowHeight="15" customHeight="1" zeroHeight="1" x14ac:dyDescent="0.2"/>
  <cols>
    <col min="1" max="1" width="3" style="209" customWidth="1"/>
    <col min="2" max="2" width="5.42578125" style="6" customWidth="1"/>
    <col min="3" max="3" width="6.28515625" style="6" customWidth="1"/>
    <col min="4" max="8" width="9.140625" style="6" customWidth="1"/>
    <col min="9" max="10" width="7.28515625" style="6" customWidth="1"/>
    <col min="11" max="15" width="9.140625" style="6" customWidth="1"/>
    <col min="16" max="16" width="6.7109375" style="6" customWidth="1"/>
    <col min="17" max="17" width="5.140625" style="6" customWidth="1"/>
    <col min="18" max="255" width="9.140625" style="6" hidden="1" customWidth="1"/>
    <col min="256" max="16384" width="6.85546875" style="6" hidden="1"/>
  </cols>
  <sheetData>
    <row r="1" spans="2:17" s="209" customFormat="1" ht="15" customHeight="1" x14ac:dyDescent="0.2"/>
    <row r="2" spans="2:17" s="209" customFormat="1" ht="15" customHeight="1" thickBot="1" x14ac:dyDescent="0.25"/>
    <row r="3" spans="2:17" ht="15" customHeight="1" thickTop="1" x14ac:dyDescent="0.2">
      <c r="B3" s="114"/>
      <c r="C3" s="115"/>
      <c r="D3" s="115"/>
      <c r="E3" s="115"/>
      <c r="F3" s="115"/>
      <c r="G3" s="115"/>
      <c r="H3" s="115"/>
      <c r="I3" s="115"/>
      <c r="J3" s="115"/>
      <c r="K3" s="115"/>
      <c r="L3" s="115"/>
      <c r="M3" s="115"/>
      <c r="N3" s="115"/>
      <c r="O3" s="115"/>
      <c r="P3" s="116"/>
      <c r="Q3" s="209"/>
    </row>
    <row r="4" spans="2:17" ht="15" customHeight="1" x14ac:dyDescent="0.2">
      <c r="B4" s="210"/>
      <c r="C4" s="211" t="s">
        <v>197</v>
      </c>
      <c r="D4" s="5"/>
      <c r="E4" s="5"/>
      <c r="F4" s="5"/>
      <c r="G4" s="5"/>
      <c r="H4" s="5"/>
      <c r="I4" s="5"/>
      <c r="J4" s="10"/>
      <c r="K4" s="5"/>
      <c r="L4" s="10"/>
      <c r="M4" s="5"/>
      <c r="N4" s="5"/>
      <c r="O4" s="5"/>
      <c r="P4" s="212"/>
      <c r="Q4" s="209"/>
    </row>
    <row r="5" spans="2:17" ht="15" customHeight="1" x14ac:dyDescent="0.2">
      <c r="B5" s="210"/>
      <c r="C5" s="5"/>
      <c r="D5" s="5"/>
      <c r="E5" s="5"/>
      <c r="F5" s="5"/>
      <c r="G5" s="5"/>
      <c r="H5" s="5"/>
      <c r="I5" s="5"/>
      <c r="J5" s="10"/>
      <c r="K5" s="5"/>
      <c r="L5" s="10"/>
      <c r="M5" s="5"/>
      <c r="N5" s="5"/>
      <c r="O5" s="5"/>
      <c r="P5" s="212"/>
      <c r="Q5" s="209"/>
    </row>
    <row r="6" spans="2:17" ht="15" customHeight="1" x14ac:dyDescent="0.2">
      <c r="B6" s="210"/>
      <c r="C6" s="5" t="s">
        <v>120</v>
      </c>
      <c r="D6" s="14"/>
      <c r="E6" s="5"/>
      <c r="F6" s="5"/>
      <c r="G6" s="5"/>
      <c r="H6" s="5"/>
      <c r="I6" s="5"/>
      <c r="J6" s="10"/>
      <c r="K6" s="5"/>
      <c r="L6" s="10"/>
      <c r="M6" s="5"/>
      <c r="N6" s="5"/>
      <c r="O6" s="5"/>
      <c r="P6" s="212"/>
      <c r="Q6" s="209"/>
    </row>
    <row r="7" spans="2:17" ht="15" customHeight="1" x14ac:dyDescent="0.2">
      <c r="B7" s="210"/>
      <c r="C7" s="14" t="s">
        <v>121</v>
      </c>
      <c r="D7" s="5"/>
      <c r="E7" s="5"/>
      <c r="F7" s="5"/>
      <c r="G7" s="5"/>
      <c r="H7" s="5"/>
      <c r="I7" s="5"/>
      <c r="J7" s="10"/>
      <c r="K7" s="5"/>
      <c r="L7" s="10"/>
      <c r="M7" s="5"/>
      <c r="N7" s="5"/>
      <c r="O7" s="5"/>
      <c r="P7" s="212"/>
      <c r="Q7" s="209"/>
    </row>
    <row r="8" spans="2:17" ht="15" customHeight="1" x14ac:dyDescent="0.2">
      <c r="B8" s="210"/>
      <c r="C8" s="14"/>
      <c r="D8" s="5"/>
      <c r="E8" s="5"/>
      <c r="F8" s="5"/>
      <c r="G8" s="5"/>
      <c r="H8" s="5"/>
      <c r="I8" s="5"/>
      <c r="J8" s="10"/>
      <c r="K8" s="5"/>
      <c r="L8" s="10"/>
      <c r="M8" s="5"/>
      <c r="N8" s="5"/>
      <c r="O8" s="5"/>
      <c r="P8" s="212"/>
      <c r="Q8" s="209"/>
    </row>
    <row r="9" spans="2:17" ht="15" customHeight="1" x14ac:dyDescent="0.2">
      <c r="B9" s="210"/>
      <c r="C9" s="213" t="s">
        <v>122</v>
      </c>
      <c r="D9" s="14"/>
      <c r="E9" s="5"/>
      <c r="F9" s="5"/>
      <c r="G9" s="5"/>
      <c r="H9" s="14"/>
      <c r="I9" s="5" t="s">
        <v>123</v>
      </c>
      <c r="J9" s="214"/>
      <c r="K9" s="214"/>
      <c r="L9" s="214"/>
      <c r="M9" s="14"/>
      <c r="N9" s="5"/>
      <c r="O9" s="5"/>
      <c r="P9" s="212"/>
      <c r="Q9" s="209"/>
    </row>
    <row r="10" spans="2:17" ht="15" customHeight="1" x14ac:dyDescent="0.2">
      <c r="B10" s="210"/>
      <c r="C10" s="14"/>
      <c r="D10" s="14"/>
      <c r="E10" s="14"/>
      <c r="F10" s="14"/>
      <c r="G10" s="521" t="s">
        <v>124</v>
      </c>
      <c r="H10" s="521"/>
      <c r="I10" s="521"/>
      <c r="J10" s="521"/>
      <c r="K10" s="521"/>
      <c r="L10" s="521"/>
      <c r="M10" s="521"/>
      <c r="N10" s="521"/>
      <c r="O10" s="5"/>
      <c r="P10" s="212"/>
      <c r="Q10" s="209"/>
    </row>
    <row r="11" spans="2:17" ht="15" customHeight="1" x14ac:dyDescent="0.2">
      <c r="B11" s="210"/>
      <c r="C11" s="14"/>
      <c r="D11" s="520" t="s">
        <v>125</v>
      </c>
      <c r="E11" s="520"/>
      <c r="F11" s="215"/>
      <c r="G11" s="521"/>
      <c r="H11" s="521"/>
      <c r="I11" s="521"/>
      <c r="J11" s="521"/>
      <c r="K11" s="521"/>
      <c r="L11" s="521"/>
      <c r="M11" s="521"/>
      <c r="N11" s="521"/>
      <c r="O11" s="5"/>
      <c r="P11" s="212"/>
      <c r="Q11" s="209"/>
    </row>
    <row r="12" spans="2:17" ht="15" customHeight="1" x14ac:dyDescent="0.2">
      <c r="B12" s="210"/>
      <c r="C12" s="14"/>
      <c r="D12" s="216" t="s">
        <v>126</v>
      </c>
      <c r="E12" s="217"/>
      <c r="F12" s="215"/>
      <c r="G12" s="521"/>
      <c r="H12" s="521"/>
      <c r="I12" s="521"/>
      <c r="J12" s="521"/>
      <c r="K12" s="521"/>
      <c r="L12" s="521"/>
      <c r="M12" s="521"/>
      <c r="N12" s="521"/>
      <c r="O12" s="5"/>
      <c r="P12" s="212"/>
      <c r="Q12" s="209"/>
    </row>
    <row r="13" spans="2:17" ht="15" customHeight="1" x14ac:dyDescent="0.2">
      <c r="B13" s="210"/>
      <c r="C13" s="14"/>
      <c r="D13" s="207"/>
      <c r="E13" s="195" t="s">
        <v>127</v>
      </c>
      <c r="F13" s="14"/>
      <c r="G13" s="208" t="s">
        <v>128</v>
      </c>
      <c r="H13" s="14"/>
      <c r="I13" s="208"/>
      <c r="J13" s="14"/>
      <c r="K13" s="10"/>
      <c r="L13" s="5"/>
      <c r="M13" s="10"/>
      <c r="N13" s="14"/>
      <c r="O13" s="13" t="str">
        <f>IF(D13=0,"",P13)</f>
        <v/>
      </c>
      <c r="P13" s="218" t="e">
        <f>IF(AND(D13&lt;&gt;0,D13&lt;=1),1,1/D13)</f>
        <v>#DIV/0!</v>
      </c>
      <c r="Q13" s="209"/>
    </row>
    <row r="14" spans="2:17" ht="15" customHeight="1" x14ac:dyDescent="0.2">
      <c r="B14" s="210"/>
      <c r="C14" s="14"/>
      <c r="D14" s="207"/>
      <c r="E14" s="195" t="s">
        <v>129</v>
      </c>
      <c r="F14" s="14"/>
      <c r="G14" s="208" t="s">
        <v>130</v>
      </c>
      <c r="H14" s="14"/>
      <c r="I14" s="208"/>
      <c r="J14" s="14"/>
      <c r="K14" s="10"/>
      <c r="L14" s="5"/>
      <c r="M14" s="10"/>
      <c r="N14" s="14"/>
      <c r="O14" s="13" t="str">
        <f>IF(D14=0,"",P14)</f>
        <v/>
      </c>
      <c r="P14" s="218" t="e">
        <f>IF(AND(D14&lt;&gt;0,D14&lt;=1),1,1/D14)</f>
        <v>#DIV/0!</v>
      </c>
      <c r="Q14" s="209"/>
    </row>
    <row r="15" spans="2:17" ht="15" customHeight="1" x14ac:dyDescent="0.2">
      <c r="B15" s="210"/>
      <c r="C15" s="5"/>
      <c r="D15" s="207"/>
      <c r="E15" s="195" t="s">
        <v>131</v>
      </c>
      <c r="F15" s="14"/>
      <c r="G15" s="208" t="s">
        <v>132</v>
      </c>
      <c r="H15" s="14"/>
      <c r="I15" s="208"/>
      <c r="J15" s="14"/>
      <c r="K15" s="10"/>
      <c r="L15" s="5"/>
      <c r="M15" s="10"/>
      <c r="N15" s="14"/>
      <c r="O15" s="13" t="str">
        <f>IF(D15=0,"",P15)</f>
        <v/>
      </c>
      <c r="P15" s="218" t="e">
        <f>IF(AND(D15&lt;&gt;0,D15&lt;=1),1,1/D15)</f>
        <v>#DIV/0!</v>
      </c>
      <c r="Q15" s="209"/>
    </row>
    <row r="16" spans="2:17" ht="15" customHeight="1" x14ac:dyDescent="0.2">
      <c r="B16" s="210"/>
      <c r="C16" s="5"/>
      <c r="D16" s="207"/>
      <c r="E16" s="196" t="s">
        <v>133</v>
      </c>
      <c r="F16" s="14"/>
      <c r="G16" s="208" t="s">
        <v>134</v>
      </c>
      <c r="H16" s="14"/>
      <c r="I16" s="208"/>
      <c r="J16" s="14"/>
      <c r="K16" s="10"/>
      <c r="L16" s="5"/>
      <c r="M16" s="10"/>
      <c r="N16" s="14"/>
      <c r="O16" s="13" t="str">
        <f>IF(D16=0,"",P16)</f>
        <v/>
      </c>
      <c r="P16" s="218" t="e">
        <f>IF(AND(D16&lt;&gt;0,D16&lt;=1),1,1/D16)</f>
        <v>#DIV/0!</v>
      </c>
      <c r="Q16" s="209"/>
    </row>
    <row r="17" spans="2:17" ht="15" customHeight="1" x14ac:dyDescent="0.2">
      <c r="B17" s="210"/>
      <c r="C17" s="14"/>
      <c r="D17" s="207"/>
      <c r="E17" s="219" t="s">
        <v>135</v>
      </c>
      <c r="F17" s="14"/>
      <c r="G17" s="5" t="s">
        <v>136</v>
      </c>
      <c r="H17" s="14"/>
      <c r="I17" s="5"/>
      <c r="J17" s="14"/>
      <c r="K17" s="10"/>
      <c r="L17" s="5"/>
      <c r="M17" s="10"/>
      <c r="N17" s="14"/>
      <c r="O17" s="13" t="str">
        <f>IF(D17=0,"",P17)</f>
        <v/>
      </c>
      <c r="P17" s="218" t="e">
        <f>IF(AND(D17&lt;&gt;0,D17&lt;=1),1,1/D17)</f>
        <v>#DIV/0!</v>
      </c>
      <c r="Q17" s="209"/>
    </row>
    <row r="18" spans="2:17" ht="15" customHeight="1" x14ac:dyDescent="0.2">
      <c r="B18" s="210"/>
      <c r="C18" s="14"/>
      <c r="D18" s="14"/>
      <c r="E18" s="14"/>
      <c r="F18" s="14"/>
      <c r="G18" s="5" t="s">
        <v>137</v>
      </c>
      <c r="H18" s="14"/>
      <c r="I18" s="5"/>
      <c r="J18" s="14"/>
      <c r="K18" s="14"/>
      <c r="L18" s="14"/>
      <c r="M18" s="14"/>
      <c r="N18" s="14"/>
      <c r="O18" s="14"/>
      <c r="P18" s="220"/>
      <c r="Q18" s="209"/>
    </row>
    <row r="19" spans="2:17" ht="15" customHeight="1" x14ac:dyDescent="0.2">
      <c r="B19" s="210"/>
      <c r="C19" s="14"/>
      <c r="D19" s="14"/>
      <c r="E19" s="14"/>
      <c r="F19" s="14"/>
      <c r="G19" s="14"/>
      <c r="H19" s="14"/>
      <c r="I19" s="14"/>
      <c r="J19" s="14"/>
      <c r="K19" s="14"/>
      <c r="M19" s="224"/>
      <c r="N19" s="221" t="s">
        <v>138</v>
      </c>
      <c r="O19" s="222">
        <f>SUM(O13:O17)</f>
        <v>0</v>
      </c>
      <c r="P19" s="223"/>
      <c r="Q19" s="209"/>
    </row>
    <row r="20" spans="2:17" ht="15" customHeight="1" x14ac:dyDescent="0.2">
      <c r="B20" s="210"/>
      <c r="C20" s="14"/>
      <c r="D20" s="14"/>
      <c r="E20" s="14"/>
      <c r="F20" s="14"/>
      <c r="G20" s="14"/>
      <c r="H20" s="14"/>
      <c r="I20" s="14"/>
      <c r="J20" s="14"/>
      <c r="K20" s="14"/>
      <c r="L20" s="14"/>
      <c r="M20" s="221"/>
      <c r="N20" s="14"/>
      <c r="O20" s="224"/>
      <c r="P20" s="212"/>
      <c r="Q20" s="209"/>
    </row>
    <row r="21" spans="2:17" ht="15" customHeight="1" x14ac:dyDescent="0.2">
      <c r="B21" s="210"/>
      <c r="C21" s="213" t="s">
        <v>139</v>
      </c>
      <c r="D21" s="14"/>
      <c r="E21" s="5"/>
      <c r="F21" s="5"/>
      <c r="G21" s="5"/>
      <c r="H21" s="14"/>
      <c r="I21" s="5" t="s">
        <v>123</v>
      </c>
      <c r="J21" s="214"/>
      <c r="K21" s="214"/>
      <c r="L21" s="214"/>
      <c r="M21" s="14"/>
      <c r="N21" s="5"/>
      <c r="O21" s="5"/>
      <c r="P21" s="212"/>
      <c r="Q21" s="209"/>
    </row>
    <row r="22" spans="2:17" ht="15" customHeight="1" x14ac:dyDescent="0.2">
      <c r="B22" s="210"/>
      <c r="C22" s="14"/>
      <c r="D22" s="14"/>
      <c r="E22" s="14"/>
      <c r="F22" s="14"/>
      <c r="G22" s="521" t="s">
        <v>124</v>
      </c>
      <c r="H22" s="521"/>
      <c r="I22" s="521"/>
      <c r="J22" s="521"/>
      <c r="K22" s="521"/>
      <c r="L22" s="521"/>
      <c r="M22" s="521"/>
      <c r="N22" s="521"/>
      <c r="O22" s="14"/>
      <c r="P22" s="225"/>
      <c r="Q22" s="209"/>
    </row>
    <row r="23" spans="2:17" ht="15" customHeight="1" x14ac:dyDescent="0.2">
      <c r="B23" s="210"/>
      <c r="C23" s="14"/>
      <c r="D23" s="520" t="s">
        <v>125</v>
      </c>
      <c r="E23" s="520"/>
      <c r="F23" s="14"/>
      <c r="G23" s="521"/>
      <c r="H23" s="521"/>
      <c r="I23" s="521"/>
      <c r="J23" s="521"/>
      <c r="K23" s="521"/>
      <c r="L23" s="521"/>
      <c r="M23" s="521"/>
      <c r="N23" s="521"/>
      <c r="O23" s="226"/>
      <c r="P23" s="212"/>
      <c r="Q23" s="209"/>
    </row>
    <row r="24" spans="2:17" ht="15" customHeight="1" x14ac:dyDescent="0.2">
      <c r="B24" s="210"/>
      <c r="C24" s="14"/>
      <c r="D24" s="216" t="s">
        <v>126</v>
      </c>
      <c r="E24" s="217"/>
      <c r="F24" s="14"/>
      <c r="G24" s="521"/>
      <c r="H24" s="521"/>
      <c r="I24" s="521"/>
      <c r="J24" s="521"/>
      <c r="K24" s="521"/>
      <c r="L24" s="521"/>
      <c r="M24" s="521"/>
      <c r="N24" s="521"/>
      <c r="O24" s="226"/>
      <c r="P24" s="212"/>
      <c r="Q24" s="209"/>
    </row>
    <row r="25" spans="2:17" ht="15" customHeight="1" x14ac:dyDescent="0.2">
      <c r="B25" s="210"/>
      <c r="C25" s="5"/>
      <c r="D25" s="207"/>
      <c r="E25" s="227" t="s">
        <v>140</v>
      </c>
      <c r="F25" s="14"/>
      <c r="G25" s="14"/>
      <c r="H25" s="5"/>
      <c r="I25" s="14"/>
      <c r="J25" s="14"/>
      <c r="K25" s="5" t="s">
        <v>141</v>
      </c>
      <c r="L25" s="228"/>
      <c r="M25" s="14"/>
      <c r="N25" s="14"/>
      <c r="O25" s="13" t="str">
        <f>IF(D25=0,"",P25)</f>
        <v/>
      </c>
      <c r="P25" s="218" t="e">
        <f>IF(AND(D25&lt;&gt;0,D25&lt;=1),1,1/D25)</f>
        <v>#DIV/0!</v>
      </c>
      <c r="Q25" s="209"/>
    </row>
    <row r="26" spans="2:17" ht="15" customHeight="1" x14ac:dyDescent="0.2">
      <c r="B26" s="210"/>
      <c r="C26" s="5"/>
      <c r="D26" s="207"/>
      <c r="E26" s="219" t="s">
        <v>142</v>
      </c>
      <c r="F26" s="14"/>
      <c r="G26" s="5"/>
      <c r="H26" s="5"/>
      <c r="I26" s="14"/>
      <c r="J26" s="10"/>
      <c r="K26" s="5" t="s">
        <v>143</v>
      </c>
      <c r="L26" s="10"/>
      <c r="M26" s="14"/>
      <c r="N26" s="14"/>
      <c r="O26" s="13" t="str">
        <f>IF(D26=0,"",P26)</f>
        <v/>
      </c>
      <c r="P26" s="218" t="e">
        <f>IF(AND(D26&lt;&gt;0,D26&lt;=1),1,1/D26)</f>
        <v>#DIV/0!</v>
      </c>
      <c r="Q26" s="209"/>
    </row>
    <row r="27" spans="2:17" ht="15" customHeight="1" x14ac:dyDescent="0.2">
      <c r="B27" s="210"/>
      <c r="C27" s="5"/>
      <c r="D27" s="207"/>
      <c r="E27" s="219" t="s">
        <v>144</v>
      </c>
      <c r="F27" s="14"/>
      <c r="G27" s="5"/>
      <c r="H27" s="5"/>
      <c r="I27" s="5"/>
      <c r="J27" s="10"/>
      <c r="K27" s="5"/>
      <c r="L27" s="10"/>
      <c r="M27" s="14"/>
      <c r="N27" s="14"/>
      <c r="O27" s="13" t="str">
        <f>IF(D27=0,"",P27)</f>
        <v/>
      </c>
      <c r="P27" s="218" t="e">
        <f>IF(AND(D27&lt;&gt;0,D27&lt;=1),1,1/D27)</f>
        <v>#DIV/0!</v>
      </c>
      <c r="Q27" s="209"/>
    </row>
    <row r="28" spans="2:17" ht="15" customHeight="1" x14ac:dyDescent="0.2">
      <c r="B28" s="210"/>
      <c r="C28" s="5"/>
      <c r="D28" s="207"/>
      <c r="E28" s="219" t="s">
        <v>145</v>
      </c>
      <c r="F28" s="14"/>
      <c r="G28" s="5"/>
      <c r="H28" s="5"/>
      <c r="I28" s="14"/>
      <c r="J28" s="5"/>
      <c r="K28" s="5"/>
      <c r="L28" s="10"/>
      <c r="M28" s="14"/>
      <c r="N28" s="14"/>
      <c r="O28" s="13" t="str">
        <f>IF(D28=0,"",P28)</f>
        <v/>
      </c>
      <c r="P28" s="218" t="e">
        <f>IF(AND(D28&lt;&gt;0,D28&lt;=1),1,1/D28)</f>
        <v>#DIV/0!</v>
      </c>
      <c r="Q28" s="209"/>
    </row>
    <row r="29" spans="2:17" ht="15" customHeight="1" x14ac:dyDescent="0.2">
      <c r="B29" s="210"/>
      <c r="C29" s="5"/>
      <c r="D29" s="207"/>
      <c r="E29" s="219" t="s">
        <v>146</v>
      </c>
      <c r="F29" s="14"/>
      <c r="G29" s="5"/>
      <c r="H29" s="5"/>
      <c r="I29" s="14"/>
      <c r="J29" s="5"/>
      <c r="K29" s="5"/>
      <c r="L29" s="10"/>
      <c r="M29" s="14"/>
      <c r="N29" s="14"/>
      <c r="O29" s="13" t="str">
        <f>IF(D29=0,"",P29)</f>
        <v/>
      </c>
      <c r="P29" s="218" t="e">
        <f>IF(AND(D29&lt;&gt;0,D29&lt;=1),1,1/D29)</f>
        <v>#DIV/0!</v>
      </c>
      <c r="Q29" s="209"/>
    </row>
    <row r="30" spans="2:17" ht="15" customHeight="1" x14ac:dyDescent="0.2">
      <c r="B30" s="210"/>
      <c r="C30" s="5"/>
      <c r="D30" s="5"/>
      <c r="E30" s="5"/>
      <c r="F30" s="5"/>
      <c r="G30" s="5"/>
      <c r="H30" s="5"/>
      <c r="I30" s="14"/>
      <c r="J30" s="14"/>
      <c r="K30" s="14"/>
      <c r="L30" s="14"/>
      <c r="M30" s="14"/>
      <c r="N30" s="14"/>
      <c r="O30" s="14"/>
      <c r="P30" s="212"/>
      <c r="Q30" s="209"/>
    </row>
    <row r="31" spans="2:17" ht="15" customHeight="1" x14ac:dyDescent="0.2">
      <c r="B31" s="210"/>
      <c r="C31" s="5"/>
      <c r="D31" s="5"/>
      <c r="E31" s="5"/>
      <c r="F31" s="5"/>
      <c r="G31" s="5"/>
      <c r="H31" s="5"/>
      <c r="I31" s="14"/>
      <c r="J31" s="14"/>
      <c r="K31" s="14"/>
      <c r="M31" s="224"/>
      <c r="N31" s="221" t="s">
        <v>147</v>
      </c>
      <c r="O31" s="222">
        <f>SUM(O25:O29)</f>
        <v>0</v>
      </c>
      <c r="P31" s="212"/>
      <c r="Q31" s="209"/>
    </row>
    <row r="32" spans="2:17" ht="15" customHeight="1" thickBot="1" x14ac:dyDescent="0.25">
      <c r="B32" s="210"/>
      <c r="C32" s="14"/>
      <c r="D32" s="5"/>
      <c r="E32" s="5"/>
      <c r="F32" s="5"/>
      <c r="G32" s="5"/>
      <c r="H32" s="5"/>
      <c r="I32" s="5"/>
      <c r="J32" s="10"/>
      <c r="K32" s="5"/>
      <c r="L32" s="10"/>
      <c r="M32" s="5"/>
      <c r="N32" s="14"/>
      <c r="O32" s="5"/>
      <c r="P32" s="212"/>
      <c r="Q32" s="209"/>
    </row>
    <row r="33" spans="2:17" ht="15" customHeight="1" thickTop="1" thickBot="1" x14ac:dyDescent="0.25">
      <c r="B33" s="210"/>
      <c r="C33" s="14"/>
      <c r="D33" s="14"/>
      <c r="E33" s="14"/>
      <c r="F33" s="14"/>
      <c r="G33" s="14"/>
      <c r="H33" s="14"/>
      <c r="I33" s="14"/>
      <c r="J33" s="14"/>
      <c r="K33" s="14"/>
      <c r="M33" s="230"/>
      <c r="N33" s="229" t="s">
        <v>148</v>
      </c>
      <c r="O33" s="239">
        <f>O19+O31</f>
        <v>0</v>
      </c>
      <c r="P33" s="212"/>
      <c r="Q33" s="209"/>
    </row>
    <row r="34" spans="2:17" ht="15" customHeight="1" thickTop="1" thickBot="1" x14ac:dyDescent="0.25">
      <c r="B34" s="117"/>
      <c r="C34" s="231"/>
      <c r="D34" s="231"/>
      <c r="E34" s="231"/>
      <c r="F34" s="231"/>
      <c r="G34" s="231"/>
      <c r="H34" s="231"/>
      <c r="I34" s="118"/>
      <c r="J34" s="118"/>
      <c r="K34" s="118"/>
      <c r="L34" s="118"/>
      <c r="M34" s="118"/>
      <c r="N34" s="231"/>
      <c r="O34" s="231"/>
      <c r="P34" s="232"/>
      <c r="Q34" s="209"/>
    </row>
    <row r="35" spans="2:17" ht="15" customHeight="1" thickTop="1" x14ac:dyDescent="0.2">
      <c r="B35" s="209"/>
      <c r="C35" s="245"/>
      <c r="D35" s="245"/>
      <c r="E35" s="245"/>
      <c r="F35" s="245"/>
      <c r="G35" s="245"/>
      <c r="H35" s="245"/>
      <c r="I35" s="245"/>
      <c r="J35" s="256"/>
      <c r="K35" s="245"/>
      <c r="L35" s="256"/>
      <c r="M35" s="294"/>
      <c r="N35" s="294"/>
      <c r="O35" s="294"/>
      <c r="P35" s="294"/>
      <c r="Q35" s="209"/>
    </row>
    <row r="36" spans="2:17" ht="15" customHeight="1" x14ac:dyDescent="0.2">
      <c r="B36" s="209"/>
      <c r="C36" s="251"/>
      <c r="D36" s="251"/>
      <c r="E36" s="251"/>
      <c r="F36" s="251"/>
      <c r="G36" s="251"/>
      <c r="H36" s="251"/>
      <c r="I36" s="245"/>
      <c r="J36" s="245"/>
      <c r="K36" s="245"/>
      <c r="L36" s="256"/>
      <c r="M36" s="251"/>
      <c r="N36" s="251"/>
      <c r="O36" s="251"/>
      <c r="P36" s="251"/>
      <c r="Q36" s="209"/>
    </row>
    <row r="37" spans="2:17" ht="15" hidden="1" customHeight="1" x14ac:dyDescent="0.2">
      <c r="C37" s="15"/>
      <c r="D37" s="5"/>
      <c r="E37" s="5"/>
      <c r="F37" s="15"/>
      <c r="G37" s="15"/>
      <c r="H37" s="15"/>
      <c r="I37" s="5"/>
      <c r="J37" s="233"/>
      <c r="K37" s="234"/>
      <c r="L37" s="5"/>
      <c r="M37" s="235"/>
      <c r="N37" s="235"/>
      <c r="O37" s="235"/>
      <c r="P37" s="235"/>
    </row>
    <row r="38" spans="2:17" ht="15" hidden="1" customHeight="1" x14ac:dyDescent="0.25">
      <c r="C38" s="236"/>
      <c r="D38" s="236"/>
      <c r="E38" s="236"/>
      <c r="F38" s="236"/>
      <c r="G38" s="236"/>
      <c r="H38" s="236"/>
      <c r="I38" s="237"/>
      <c r="J38" s="237"/>
      <c r="K38" s="237"/>
      <c r="L38" s="238"/>
      <c r="M38" s="25"/>
      <c r="N38" s="235"/>
      <c r="O38" s="235"/>
      <c r="P38" s="235"/>
    </row>
    <row r="39" spans="2:17" ht="15" hidden="1" customHeight="1" x14ac:dyDescent="0.25">
      <c r="C39" s="236"/>
      <c r="D39" s="236"/>
      <c r="E39" s="236"/>
      <c r="F39" s="236"/>
      <c r="G39" s="236"/>
      <c r="H39" s="236"/>
      <c r="I39" s="237"/>
      <c r="J39" s="237"/>
      <c r="K39" s="237"/>
      <c r="L39" s="58"/>
      <c r="M39" s="25"/>
      <c r="N39" s="235"/>
      <c r="O39" s="235"/>
      <c r="P39" s="235"/>
    </row>
  </sheetData>
  <sheetProtection password="EC65" sheet="1" selectLockedCells="1"/>
  <mergeCells count="4">
    <mergeCell ref="D23:E23"/>
    <mergeCell ref="D11:E11"/>
    <mergeCell ref="G10:N12"/>
    <mergeCell ref="G22:N24"/>
  </mergeCells>
  <conditionalFormatting sqref="P31">
    <cfRule type="expression" dxfId="5" priority="6" stopIfTrue="1">
      <formula>ISERROR($O$175)</formula>
    </cfRule>
  </conditionalFormatting>
  <conditionalFormatting sqref="P19:P20">
    <cfRule type="expression" dxfId="4" priority="5" stopIfTrue="1">
      <formula>ISERROR($O$165)</formula>
    </cfRule>
  </conditionalFormatting>
  <conditionalFormatting sqref="O31">
    <cfRule type="expression" dxfId="3" priority="4" stopIfTrue="1">
      <formula>ISERROR($O$175)</formula>
    </cfRule>
  </conditionalFormatting>
  <conditionalFormatting sqref="O19:O20">
    <cfRule type="expression" dxfId="2" priority="3" stopIfTrue="1">
      <formula>ISERROR($O$165)</formula>
    </cfRule>
  </conditionalFormatting>
  <conditionalFormatting sqref="M31">
    <cfRule type="expression" dxfId="1" priority="2" stopIfTrue="1">
      <formula>ISERROR($O$175)</formula>
    </cfRule>
  </conditionalFormatting>
  <conditionalFormatting sqref="M19">
    <cfRule type="expression" dxfId="0" priority="1" stopIfTrue="1">
      <formula>ISERROR($O$165)</formula>
    </cfRule>
  </conditionalFormatting>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2R SUMMARY</vt:lpstr>
      <vt:lpstr>TRAFFIC &amp; ACCIDENTS</vt:lpstr>
      <vt:lpstr>STRUCTURE</vt:lpstr>
      <vt:lpstr>GEOMETRY </vt:lpstr>
      <vt:lpstr>ROADSIDE SAFETY</vt:lpstr>
      <vt:lpstr>LOCAL SIGNIFICANCE</vt:lpstr>
      <vt:lpstr>'2R SUMMARY'!Print_Area</vt:lpstr>
      <vt:lpstr>'GEOMETRY '!Print_Area</vt:lpstr>
      <vt:lpstr>'LOCAL SIGNIFICANCE'!Print_Area</vt:lpstr>
      <vt:lpstr>'ROADSIDE SAFETY'!Print_Area</vt:lpstr>
      <vt:lpstr>STRUCTURE!Print_Area</vt:lpstr>
      <vt:lpstr>'TRAFFIC &amp;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Johnson, Steve (CRAB)</cp:lastModifiedBy>
  <cp:lastPrinted>2013-12-12T17:46:50Z</cp:lastPrinted>
  <dcterms:created xsi:type="dcterms:W3CDTF">2001-08-02T21:00:18Z</dcterms:created>
  <dcterms:modified xsi:type="dcterms:W3CDTF">2022-06-21T21:05:52Z</dcterms:modified>
</cp:coreProperties>
</file>